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ublicuprdor\Общая папка\ОТДЕЛ ПЛАНИРОВАНИЯ И ЭКОНОМИЧЕСКОГО АНАЛИЗА\3. Иванов А.В\!БКАД 2021\"/>
    </mc:Choice>
  </mc:AlternateContent>
  <bookViews>
    <workbookView xWindow="-120" yWindow="-120" windowWidth="29040" windowHeight="15840" tabRatio="375"/>
  </bookViews>
  <sheets>
    <sheet name="БКАД" sheetId="7" r:id="rId1"/>
  </sheets>
  <definedNames>
    <definedName name="_GoBack" localSheetId="0">БКАД!#REF!</definedName>
    <definedName name="_xlnm.Print_Titles" localSheetId="0">БКАД!$5:$7</definedName>
    <definedName name="_xlnm.Print_Area" localSheetId="0">БКАД!$A$1:$P$41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4" i="7" l="1"/>
  <c r="I34" i="7" s="1"/>
  <c r="G34" i="7" s="1"/>
  <c r="M34" i="7"/>
  <c r="I17" i="7"/>
  <c r="L17" i="7"/>
  <c r="O17" i="7"/>
  <c r="M17" i="7"/>
  <c r="O34" i="7"/>
  <c r="I11" i="7"/>
  <c r="M13" i="7"/>
  <c r="M15" i="7"/>
  <c r="O23" i="7"/>
  <c r="L33" i="7"/>
  <c r="I32" i="7"/>
  <c r="L32" i="7"/>
  <c r="I12" i="7"/>
  <c r="L12" i="7"/>
  <c r="M23" i="7"/>
  <c r="O11" i="7"/>
  <c r="O29" i="7" l="1"/>
  <c r="M29" i="7"/>
  <c r="O16" i="7"/>
  <c r="O13" i="7"/>
  <c r="M14" i="7"/>
  <c r="O14" i="7"/>
  <c r="I13" i="7"/>
  <c r="M12" i="7"/>
  <c r="O12" i="7" s="1"/>
  <c r="M22" i="7" l="1"/>
  <c r="O22" i="7" s="1"/>
  <c r="M21" i="7"/>
  <c r="O21" i="7" s="1"/>
  <c r="M11" i="7"/>
  <c r="O24" i="7" l="1"/>
  <c r="M24" i="7"/>
  <c r="M25" i="7"/>
  <c r="O25" i="7" s="1"/>
  <c r="O30" i="7"/>
  <c r="M30" i="7"/>
  <c r="O15" i="7"/>
  <c r="O31" i="7"/>
  <c r="M16" i="7" l="1"/>
  <c r="M31" i="7" l="1"/>
  <c r="N29" i="7" l="1"/>
  <c r="O32" i="7" l="1"/>
  <c r="O26" i="7"/>
  <c r="M32" i="7" l="1"/>
  <c r="O20" i="7"/>
  <c r="M26" i="7"/>
  <c r="M20" i="7"/>
  <c r="O33" i="7" l="1"/>
  <c r="M33" i="7" l="1"/>
  <c r="O28" i="7"/>
  <c r="M28" i="7"/>
  <c r="M38" i="7" l="1"/>
  <c r="O38" i="7" s="1"/>
  <c r="O19" i="7"/>
  <c r="N13" i="7" l="1"/>
  <c r="M19" i="7"/>
  <c r="N33" i="7"/>
  <c r="I29" i="7"/>
  <c r="H29" i="7"/>
  <c r="H33" i="7"/>
  <c r="O37" i="7" l="1"/>
  <c r="M37" i="7"/>
  <c r="O36" i="7"/>
  <c r="M36" i="7"/>
  <c r="F29" i="7"/>
  <c r="L18" i="7"/>
  <c r="M18" i="7" s="1"/>
  <c r="O18" i="7" s="1"/>
  <c r="I18" i="7"/>
  <c r="I31" i="7" l="1"/>
  <c r="N26" i="7" l="1"/>
  <c r="G31" i="7" l="1"/>
  <c r="I14" i="7" l="1"/>
  <c r="G14" i="7"/>
  <c r="N28" i="7" l="1"/>
  <c r="N35" i="7" l="1"/>
  <c r="K35" i="7"/>
  <c r="H35" i="7"/>
  <c r="H10" i="7" l="1"/>
  <c r="H9" i="7" s="1"/>
  <c r="D35" i="7"/>
  <c r="E35" i="7"/>
  <c r="F35" i="7"/>
  <c r="L38" i="7"/>
  <c r="I38" i="7"/>
  <c r="G38" i="7" s="1"/>
  <c r="J38" i="7" s="1"/>
  <c r="M35" i="7"/>
  <c r="I37" i="7"/>
  <c r="L37" i="7" s="1"/>
  <c r="I36" i="7"/>
  <c r="L35" i="7" l="1"/>
  <c r="G37" i="7"/>
  <c r="J37" i="7" s="1"/>
  <c r="G36" i="7"/>
  <c r="I35" i="7"/>
  <c r="O35" i="7"/>
  <c r="J36" i="7" l="1"/>
  <c r="J35" i="7" s="1"/>
  <c r="G35" i="7"/>
  <c r="J34" i="7" l="1"/>
  <c r="K34" i="7" s="1"/>
  <c r="I41" i="7" l="1"/>
  <c r="N10" i="7" l="1"/>
  <c r="N9" i="7" s="1"/>
  <c r="N8" i="7" s="1"/>
  <c r="I16" i="7"/>
  <c r="O10" i="7" l="1"/>
  <c r="O9" i="7" s="1"/>
  <c r="M10" i="7"/>
  <c r="M9" i="7" s="1"/>
  <c r="G30" i="7"/>
  <c r="G23" i="7"/>
  <c r="L20" i="7"/>
  <c r="I20" i="7"/>
  <c r="G20" i="7" s="1"/>
  <c r="L19" i="7"/>
  <c r="I19" i="7"/>
  <c r="G19" i="7" s="1"/>
  <c r="G17" i="7"/>
  <c r="J17" i="7" l="1"/>
  <c r="K17" i="7" s="1"/>
  <c r="G10" i="7"/>
  <c r="J19" i="7"/>
  <c r="K19" i="7" s="1"/>
  <c r="J20" i="7"/>
  <c r="K20" i="7" s="1"/>
  <c r="G13" i="7"/>
  <c r="J13" i="7" s="1"/>
  <c r="F13" i="7"/>
  <c r="G12" i="7"/>
  <c r="J12" i="7" l="1"/>
  <c r="G41" i="7" l="1"/>
  <c r="O39" i="7" l="1"/>
  <c r="O8" i="7" s="1"/>
  <c r="M39" i="7"/>
  <c r="M8" i="7" s="1"/>
  <c r="L39" i="7"/>
  <c r="K39" i="7"/>
  <c r="J39" i="7"/>
  <c r="H39" i="7"/>
  <c r="H8" i="7" s="1"/>
  <c r="F39" i="7"/>
  <c r="I40" i="7"/>
  <c r="G40" i="7" s="1"/>
  <c r="G39" i="7" s="1"/>
  <c r="I39" i="7" l="1"/>
  <c r="L16" i="7"/>
  <c r="J27" i="7" l="1"/>
  <c r="J22" i="7"/>
  <c r="L25" i="7"/>
  <c r="L21" i="7"/>
  <c r="L10" i="7" l="1"/>
  <c r="L9" i="7" s="1"/>
  <c r="L8" i="7" s="1"/>
  <c r="G33" i="7"/>
  <c r="I28" i="7" l="1"/>
  <c r="G28" i="7" s="1"/>
  <c r="J28" i="7" s="1"/>
  <c r="G18" i="7"/>
  <c r="J18" i="7" s="1"/>
  <c r="K18" i="7" s="1"/>
  <c r="G24" i="7"/>
  <c r="J24" i="7" s="1"/>
  <c r="K24" i="7" s="1"/>
  <c r="G32" i="7"/>
  <c r="J32" i="7" s="1"/>
  <c r="J31" i="7"/>
  <c r="G15" i="7"/>
  <c r="G29" i="7"/>
  <c r="J29" i="7" s="1"/>
  <c r="I26" i="7"/>
  <c r="G26" i="7" s="1"/>
  <c r="J26" i="7" s="1"/>
  <c r="I25" i="7"/>
  <c r="G25" i="7" s="1"/>
  <c r="J25" i="7" s="1"/>
  <c r="K25" i="7" s="1"/>
  <c r="I21" i="7"/>
  <c r="J33" i="7"/>
  <c r="K33" i="7" s="1"/>
  <c r="F32" i="7"/>
  <c r="F28" i="7"/>
  <c r="I10" i="7" l="1"/>
  <c r="I9" i="7" s="1"/>
  <c r="I8" i="7" s="1"/>
  <c r="F10" i="7"/>
  <c r="F9" i="7" s="1"/>
  <c r="G21" i="7"/>
  <c r="J21" i="7" s="1"/>
  <c r="G16" i="7"/>
  <c r="J16" i="7" s="1"/>
  <c r="J15" i="7"/>
  <c r="F8" i="7" l="1"/>
  <c r="G4" i="7" s="1"/>
  <c r="G11" i="7"/>
  <c r="G9" i="7" l="1"/>
  <c r="G8" i="7" s="1"/>
  <c r="J11" i="7"/>
  <c r="J10" i="7" l="1"/>
  <c r="K10" i="7" l="1"/>
  <c r="K9" i="7" s="1"/>
  <c r="K8" i="7" s="1"/>
  <c r="J9" i="7"/>
  <c r="J8" i="7" s="1"/>
</calcChain>
</file>

<file path=xl/sharedStrings.xml><?xml version="1.0" encoding="utf-8"?>
<sst xmlns="http://schemas.openxmlformats.org/spreadsheetml/2006/main" count="133" uniqueCount="128">
  <si>
    <t>п/п №</t>
  </si>
  <si>
    <t>Наименование объектов</t>
  </si>
  <si>
    <t>ПРИМЕЧАНИЕ</t>
  </si>
  <si>
    <t>км</t>
  </si>
  <si>
    <t>ВСЕГО:</t>
  </si>
  <si>
    <t>Объекты капитального ремонта и ремонта , итого:</t>
  </si>
  <si>
    <t>Адрес участка</t>
  </si>
  <si>
    <t>Начало (км+м)</t>
  </si>
  <si>
    <t>Конец (км+м)</t>
  </si>
  <si>
    <t xml:space="preserve">Выполнение работ по капитальному ремонту автомобильной дороги Якутск - Покровск - Олекминск  - Ленск - Пеледуй (а/д "Умнас") с подъездами к г. Покровск, п. Мохсоголлох, с. Нюя </t>
  </si>
  <si>
    <t>№ объекта</t>
  </si>
  <si>
    <t>112+590</t>
  </si>
  <si>
    <t>53+000</t>
  </si>
  <si>
    <t>0+000</t>
  </si>
  <si>
    <t xml:space="preserve">Выполнение ремонтных работ на автомобильной дороге Якутск - Покровск - Олекминск  - Ленск - Пеледуй (а/д "Умнас") с подъездами к г. Покровск, п. Мохсоголлох, с. Нюя </t>
  </si>
  <si>
    <t>4+670</t>
  </si>
  <si>
    <t>Мощность по проекту на 2021 год</t>
  </si>
  <si>
    <t>58+000</t>
  </si>
  <si>
    <t>122+590</t>
  </si>
  <si>
    <t>132+000</t>
  </si>
  <si>
    <t>146+700</t>
  </si>
  <si>
    <t>81+890</t>
  </si>
  <si>
    <t>86+890</t>
  </si>
  <si>
    <t>95+550</t>
  </si>
  <si>
    <t>100+550</t>
  </si>
  <si>
    <t>4+000</t>
  </si>
  <si>
    <t>9+000</t>
  </si>
  <si>
    <t>72+000</t>
  </si>
  <si>
    <t>77+537</t>
  </si>
  <si>
    <t>10+000</t>
  </si>
  <si>
    <t>36+500</t>
  </si>
  <si>
    <t>47+000</t>
  </si>
  <si>
    <t>15+870</t>
  </si>
  <si>
    <t>139+000</t>
  </si>
  <si>
    <t>143+000</t>
  </si>
  <si>
    <t>6+000</t>
  </si>
  <si>
    <t>7+000</t>
  </si>
  <si>
    <t>76+400</t>
  </si>
  <si>
    <t>92+900</t>
  </si>
  <si>
    <t>4+868</t>
  </si>
  <si>
    <t>450+000</t>
  </si>
  <si>
    <r>
      <rPr>
        <b/>
        <sz val="14"/>
        <rFont val="Times New Roman"/>
        <family val="1"/>
        <charset val="204"/>
      </rPr>
      <t xml:space="preserve">Информация по вводным объектам 2021 года национального проекта «Безопасные и качественные автомобильные дороги»
</t>
    </r>
    <r>
      <rPr>
        <sz val="14"/>
        <rFont val="Times New Roman"/>
        <family val="1"/>
        <charset val="204"/>
      </rPr>
      <t xml:space="preserve">по региональным автодорогам </t>
    </r>
  </si>
  <si>
    <t>21+430</t>
  </si>
  <si>
    <t>25+500</t>
  </si>
  <si>
    <t>Выполнение ремонтных работ на автомобильной дороге "Хатассы" участок км 0+000 - км 4+868 на территории ГО "Город Якутск" Республики Саха (Якутия)</t>
  </si>
  <si>
    <t>Выполнение ремонтных работ на автомобильной дороге Якутск - Намцы - Булус (а/д "Нам") с подъездами к п. Жатай, п. Кангалассы, на участке км 21+430 - км 25+500 на территории ГО "Город Якутск" Республики Саха (Якутия)</t>
  </si>
  <si>
    <t>Выполнение ремонтных работ на автомобильной дороге Якутск - Покровск - Олекминск  - Ленск - Пеледуй (а/д "Умнас") с подъездами к г. Покровск, п. Мохсоголлох, с. Нюя участок км 132+000 - км 139+000 в Хангаласском улусе Республики Саха (Якутия)</t>
  </si>
  <si>
    <t>Выполнение ремонтных работ на автомобильной дороге "Уолба-Булун-нефтебаза" на участке км 4+670 - км 15+870 в Таттинском улусе Республики Саха (Якутия)</t>
  </si>
  <si>
    <t>Выполнение ремонтных работ на  автомобильной дороге Ытык-Кюель (255-й км а/д "Колыма") - Харбалах - Чычымах (а/д "Харбалах") участок км 36+500 - км 47+000 в Таттинском улусе Республики Саха (Якутия)</t>
  </si>
  <si>
    <t>Выполнение ремонтных работ на  автомобильной дороге Ытык-Кюель (255-й км а/д "Колыма") - Харбалах - Чычымах (а/д "Харбалах") участок км 0+000 - км 10+000 в Таттинском улусе Республики Саха (Якутия)</t>
  </si>
  <si>
    <t>Выполнение ремонтных работ на автомобильной дороге 727-й км а/д "Колыма" - Кюбюме  - Куйдусун -р. Индигирка (а/д "Оймякон") участок км 72+000 - км 77+537 в Оймяконском улусе Республики Саха (Якутия)</t>
  </si>
  <si>
    <t>Выполнение ремонтных работ на  автомобильной дороге Майя - Тюнгюлю - Борогонцы (а/д "Мюрю") на участке км 95+550 - км 100+550 в Усть-Алданском улусе Республики Саха (Якутия)</t>
  </si>
  <si>
    <t>Выполнение ремонтных работ на  автомобильной дороге Майя - Тюнгюлю - Борогонцы (а/д "Мюрю") на участке км 81+890 - км 86+890 в Мегино-Кангаласском улусе Республики Саха (Якутия)</t>
  </si>
  <si>
    <t>Выполнение работ по капитальному ремонту автомобильной дороги Якутск - Покровск - Олекминск  - Ленск - Пеледуй (а/д "Умнас") с подъездами к г. Покровск, п. Мохсоголлох, с. Нюя участок км 139+000 - км 143+000 в Хангаласском улусе Республики Саха (Якутия)</t>
  </si>
  <si>
    <t>Выполнение ремонтных работ автомобильной дороги  Нижний Бестях (1157-й км а/д "Лена") - Амга - Усть-Мая - Эльдикан - Югоренок (а/д "Амга"), с подъездами к нефтебазе, с. Петропавловск на участке км 112+590 - км 122+590 в Амгинском улусе Республики Саха (Якутия)</t>
  </si>
  <si>
    <t>Выполнение работ по капитальному ремонту автомобильной дороги Якутск - Намцы - Булус (а/д "Нам") с подъездами к п. Жатай, п. Кангалассы, на участке км 99+500 - 118+000 в Намском улусе (районе) Республики Саха (Якутия)</t>
  </si>
  <si>
    <t>Выполнение ремонтных работ автомобильной дороги  Нижний Бестях (1157-й км а/д "Лена") - Амга - Усть-Мая - Эльдикан - Югоренок (а/д "Амга"), с подъездами к нефтебазе, с. Петропавловск на участке км 38+000 - км 58+000 в Мегино-Кангаласском улусе Республики Саха (Якутия)</t>
  </si>
  <si>
    <t>Выполнение ремонтных работ на автомобильной дороге "Амга" на участке км 450+000 - км 470+000 в Усть-Майском улусе (районе) Республики Саха (Якутия)</t>
  </si>
  <si>
    <t>Выполнение работ по устройству пункта АПВК на автомобильной дороге "Амга" км 6+000 - км 7+000 в Республике Саха (Якутия)</t>
  </si>
  <si>
    <t>66+000</t>
  </si>
  <si>
    <t>67+000</t>
  </si>
  <si>
    <t>666+000</t>
  </si>
  <si>
    <t>676+000</t>
  </si>
  <si>
    <t>99+500</t>
  </si>
  <si>
    <t>118+000</t>
  </si>
  <si>
    <t>191+000</t>
  </si>
  <si>
    <t>Выполнение ремонтых работ на автомобильной дороге Якутск - Покровск - Олекминск  - Ленск - Пеледуй (а/д "Умнас") с подъездами к г. Покровск, п. Мохсоголлох, с. Нюя на участке км 76+400 - км 92+900 в Хангаласском районе Республики Саха (Якутия)</t>
  </si>
  <si>
    <t>Выполнение ремонтых работ на автомобильной дороге Якутск - Покровск - Олекминск  - Ленск - Пеледуй (а/д "Умнас") с подъездами к г. Покровск, п. Мохсоголлох, с. Нюя на участке км 666+000 - км 676+000 в Олекминском улусе (районе) Республики Саха (Якутия)</t>
  </si>
  <si>
    <t>163+080</t>
  </si>
  <si>
    <t>179+000</t>
  </si>
  <si>
    <t>Выполнение ремонтных работ на автомобильной дороге 510-й км "Колыма" - Тополиное - Токума - Батагай - Усть-Куйга - Казачье - Нижнеянск  (а/д "Яна") на участке км 163+080 - км 179+000 в Томпонском улусе (районе) Республики Саха (Якутия)</t>
  </si>
  <si>
    <t>Выполнение ремонтных работ на  автомобильной дороге Бетюнцы (191-й км а/д "Амга") - Сулгаччы -Мындагай - (177-й км а/д "Колыма") Чурапча (а/д "Бетюн") участок км 4+000 - км 9+000 в Амгинском улусе Республики Саха (Якутия)</t>
  </si>
  <si>
    <t xml:space="preserve">  Выполнение ремонтных работ на автомобильной дороге 1163-й км а/д "Вилюй" - Мирный -Удачный - Оленек - Саскылах - Юрюнг-Хая (а/д "Анабар"), с подъездом к п. Айхал на участке км 191+000 - км 217+125 в Мирнинском районе Республике Саха (Якутия)</t>
  </si>
  <si>
    <t>470+000</t>
  </si>
  <si>
    <t>61+400</t>
  </si>
  <si>
    <t>53+600</t>
  </si>
  <si>
    <t>Выполнение ремонтных работ на  автомобильной дороге Майя - Тюнгюлю - Борогонцы (а/д "Мюрю") на участке км 53+600 - км 61+400 в Мегино-Кангаласском улусе Республики Саха (Якутия)</t>
  </si>
  <si>
    <t xml:space="preserve"> Устройство пункта АПВК на  автомобильной дороги "Умнас" км 65+480 – км 66+380 </t>
  </si>
  <si>
    <t>в том числе:</t>
  </si>
  <si>
    <t>ФБ</t>
  </si>
  <si>
    <t>ДФ РС (Я)</t>
  </si>
  <si>
    <t>План на 2021 год, ВСЕГО:</t>
  </si>
  <si>
    <t>База</t>
  </si>
  <si>
    <t>План</t>
  </si>
  <si>
    <t>Выполнение ремонтных работ на автомобильной дороге 510-й км "Колыма" - Тополиное - Токума - Батагай - Усть-Куйга - Казачье - Нижнеянск  (а/д "Яна") на участке км 136+000 - км 146+700 в Томпонском улусе (районе) Республики Саха (Якутия)</t>
  </si>
  <si>
    <t>136+000</t>
  </si>
  <si>
    <t xml:space="preserve">217+125 </t>
  </si>
  <si>
    <t>Строительный контроль</t>
  </si>
  <si>
    <t>Объекты капитального ремонта и ремонта 2022 г. , итого:</t>
  </si>
  <si>
    <t xml:space="preserve">Экономия по итогам торгов </t>
  </si>
  <si>
    <t>Стоимость контракта</t>
  </si>
  <si>
    <t xml:space="preserve">Выполнение </t>
  </si>
  <si>
    <t>Освоение средств</t>
  </si>
  <si>
    <t xml:space="preserve">Подрядчик ООО "СТРОЙ НАДЗОР" Контракт заключен от 13.07.2020г. № ОК/СМП-6325; </t>
  </si>
  <si>
    <t>в %;</t>
  </si>
  <si>
    <t>в тыс. руб;</t>
  </si>
  <si>
    <t>Выдано положительное заключение ГАУ "Управление Госэкспертизы РС (Я)" от 24.02.2021 г. № 14-1-1-3-008006-2021  (стоимость составило в ценах IIIкв. 2020 г.105 190,43 тыс. руб.)</t>
  </si>
  <si>
    <t>Авторский надзор</t>
  </si>
  <si>
    <t>Подрядчик ПФ "Хот" Контракт заключен № ЕИ-2020 от 03.12.2020г.</t>
  </si>
  <si>
    <t xml:space="preserve">Подрядчик ООО "СТРОЙ НАДЗОР" Контракт заключен от 25.01.2021г. № ОК-13430; </t>
  </si>
  <si>
    <t>Нераспределенный остаток</t>
  </si>
  <si>
    <t>Будет перераспределен на резервные объекты БКАД 2021 года</t>
  </si>
  <si>
    <t>ДФ РС(Я)</t>
  </si>
  <si>
    <t>ФБ РФ</t>
  </si>
  <si>
    <t>Региональный проект «Дорожная сеть РС (Я), а также городской агломерации «город Якутск» на 2019-2024 годы»</t>
  </si>
  <si>
    <t>Региональный проект «Общесистемные меры развития дорожного хозяйства» Республики Саха (Якутия) на 2019-2024 годы»</t>
  </si>
  <si>
    <t>Подрядчик ООО "ВВК-15" Контракт заключен от 23.08.2020г. № 3;</t>
  </si>
  <si>
    <t>Выполнение ремонтных работ на автомобильной дороге 510-й км "Колыма" - Тополиное - Токума - Батагай - Усть-Куйга - Казачье - Нижнеянск (а/д "Яна") на участках км 42+000 - км 43+000, км 146+700 - км 151+000, км 179+000 - км 180+830 в Томпонском районе Республики Саха (Якутия)</t>
  </si>
  <si>
    <t xml:space="preserve">Подрядчик на СМР ООО ''МАСЛЯНИНСКОЕ ДРСУ'', КОНТРАКТ от 2.11.2020 г. № ЭА/прСМП-11005                                                                                                                  
Работы выполнены согласно гос.контракта на 100 %.
Рабочая комиссия проводилась 26.08.2021г.
Объект сдан в эксплуатацию 09.09.2021г.             </t>
  </si>
  <si>
    <r>
      <t xml:space="preserve">Подрядчик на СМР АО "Таттаавтодор" №ЭА-8040 от 10.08.2020 г. </t>
    </r>
    <r>
      <rPr>
        <b/>
        <sz val="10"/>
        <rFont val="Times New Roman"/>
        <family val="1"/>
        <charset val="204"/>
      </rPr>
      <t>Объект сдан в эксплуатацию 08.10.2021г.</t>
    </r>
  </si>
  <si>
    <r>
      <t xml:space="preserve">Подрядчик на СМР ООО «Дортранс», №ЭА/прСМП-9515 от 10.08.2021 г.                                     </t>
    </r>
    <r>
      <rPr>
        <b/>
        <sz val="10"/>
        <rFont val="Times New Roman"/>
        <family val="1"/>
        <charset val="204"/>
      </rPr>
      <t>Работы завершены.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Объект сдан в эксплуатацию 07.10.2021г.</t>
    </r>
  </si>
  <si>
    <r>
      <t xml:space="preserve">Подрядчик на СМР ООО "Дортранс" КОНТРАКТ от 17.03.2021 г. №ЭА/прСМП-1580. </t>
    </r>
    <r>
      <rPr>
        <b/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Работы завершены.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Объект сдан в эксплуатацию 07.10.2021г.</t>
    </r>
  </si>
  <si>
    <r>
      <t xml:space="preserve">Подрядчик на СМР АО АК "Алроса" КОНТРАКТ от 18.03.2021 г. №ЭА-1581                             </t>
    </r>
    <r>
      <rPr>
        <b/>
        <sz val="10"/>
        <rFont val="Times New Roman"/>
        <family val="1"/>
        <charset val="204"/>
      </rPr>
      <t>Все работы выполнены. Объект сдан в эксплуатацию 14.10.2021г.</t>
    </r>
  </si>
  <si>
    <r>
      <t xml:space="preserve">Подрядчик на СМР ООО "СУ-77" Контракт заключен от 30.11.2020 № ЭА-12124; </t>
    </r>
    <r>
      <rPr>
        <b/>
        <sz val="10"/>
        <rFont val="Times New Roman"/>
        <family val="1"/>
        <charset val="204"/>
      </rPr>
      <t>Работы завершены. Объект сдан в эксплуатацию 16.11.2021г.</t>
    </r>
  </si>
  <si>
    <r>
      <t xml:space="preserve">Подрядчик на СМР ООО "МКАД"  КОНТРАКТ от 18.03.2021 г. №ЭА/прСМП-1585                                    </t>
    </r>
    <r>
      <rPr>
        <b/>
        <sz val="10"/>
        <rFont val="Times New Roman"/>
        <family val="1"/>
        <charset val="204"/>
      </rPr>
      <t>Работы завершены. Объект сдан в эксплуатацию 16.11.2021г.</t>
    </r>
  </si>
  <si>
    <r>
      <t xml:space="preserve">Подрядчик на СМР  АО "ТАТТААВТОДОР" Контракт заключен от 01.12.2020 № ЭА-12169;                                                                       </t>
    </r>
    <r>
      <rPr>
        <b/>
        <sz val="10"/>
        <rFont val="Times New Roman"/>
        <family val="1"/>
        <charset val="204"/>
      </rPr>
      <t xml:space="preserve">                                                                                            Участок км 0 - км 10. Объект сдан в эксплуатацию 08.10.2021г.                                                  Участок км 36 - км 47    Объект сдан в эксплуатацию 27.10.2021г.                                                                                                                                           </t>
    </r>
  </si>
  <si>
    <r>
      <t xml:space="preserve">Подрядчик на СМР АО "РИК Автодор"; КОНТРАКТ от 21.12.2020 г. № ЭА-12741;                                             </t>
    </r>
    <r>
      <rPr>
        <b/>
        <sz val="10"/>
        <rFont val="Times New Roman"/>
        <family val="1"/>
        <charset val="204"/>
      </rPr>
      <t>Работы завершены. Объект сдан в эксплуатацию 09.11.2021г.</t>
    </r>
    <r>
      <rPr>
        <sz val="10"/>
        <rFont val="Times New Roman"/>
        <family val="1"/>
        <charset val="204"/>
      </rPr>
      <t xml:space="preserve">
</t>
    </r>
  </si>
  <si>
    <r>
      <t xml:space="preserve">Подрядчик на СМР ООО "Дороги Олекмы". Контракт №ЭА-1207 от 22.03.2021 г. </t>
    </r>
    <r>
      <rPr>
        <b/>
        <sz val="10"/>
        <rFont val="Times New Roman"/>
        <family val="1"/>
        <charset val="204"/>
      </rPr>
      <t>Работы завершены. Объект сдан в эксплуатацию 12.11.2021г.</t>
    </r>
  </si>
  <si>
    <r>
      <t>Подрядчик: ООО "Север+Восток", КОНТРАКТ от 03.09.2020 г. № ЭА-8882.</t>
    </r>
    <r>
      <rPr>
        <b/>
        <sz val="10"/>
        <rFont val="Times New Roman"/>
        <family val="1"/>
        <charset val="204"/>
      </rPr>
      <t xml:space="preserve">                                                      Работы завершены. Объект сдан в эксплуатацию 12.11.2021г.</t>
    </r>
    <r>
      <rPr>
        <sz val="10"/>
        <rFont val="Times New Roman"/>
        <family val="1"/>
        <charset val="204"/>
      </rPr>
      <t xml:space="preserve">
</t>
    </r>
  </si>
  <si>
    <r>
      <t xml:space="preserve"> Подрядчик на СМР  АО "РИК АВТОДОР" Контракт заключен от 30.03.2021 № ОК-1298;                            </t>
    </r>
    <r>
      <rPr>
        <b/>
        <sz val="10"/>
        <rFont val="Times New Roman"/>
        <family val="1"/>
        <charset val="204"/>
      </rPr>
      <t>Работы завершены. Объект сдан в эксплуатацию 28.10.2021</t>
    </r>
  </si>
  <si>
    <r>
      <t xml:space="preserve">Подрядчик на СМР АО "РИК Автодор". Контракт №ОК-5024 от 03.06.2021 г. </t>
    </r>
    <r>
      <rPr>
        <b/>
        <sz val="10"/>
        <rFont val="Times New Roman"/>
        <family val="1"/>
        <charset val="204"/>
      </rPr>
      <t>Работы завершены. Объект сдан в эксплуатацию 09.11.2021г.</t>
    </r>
  </si>
  <si>
    <r>
      <t xml:space="preserve"> Подрядчик на СМР  АО "РИК АВТОДОР" Контракт заключен от 09.10.2020 № ЭА-10309; </t>
    </r>
    <r>
      <rPr>
        <b/>
        <sz val="10"/>
        <rFont val="Times New Roman"/>
        <family val="1"/>
        <charset val="204"/>
      </rPr>
      <t>Все работы выполнены. 
Объект сдан в эксплуатацию 09.11.2021г.</t>
    </r>
    <r>
      <rPr>
        <sz val="10"/>
        <rFont val="Times New Roman"/>
        <family val="1"/>
        <charset val="204"/>
      </rPr>
      <t xml:space="preserve">
</t>
    </r>
  </si>
  <si>
    <t>Подрядчик на СМР ООО "ИнвестДорСтрой" №ЭА/ПРСМП-4212 от 27.05.2019 г.  Все работы выполнены. 
Объект сдан в эксплуатацию 03.11.2021г.</t>
  </si>
  <si>
    <r>
      <t xml:space="preserve">Подрядчик на СМР  ООО "Энерготек" №ЭА/ПРСМП-3210 от 06.04.2020 г.                          </t>
    </r>
    <r>
      <rPr>
        <b/>
        <sz val="10"/>
        <rFont val="Times New Roman"/>
        <family val="1"/>
        <charset val="204"/>
      </rPr>
      <t>Рабочая комиссия проведена – 30.10.2021г.
Приемочная комиссия планируется 17.11.2021г. Подписан акт приемки от 19.11.2021</t>
    </r>
  </si>
  <si>
    <r>
      <t xml:space="preserve">Подрядчик ООО "ДЭП 135"   контракт от 15.01.2021 № ЭА-13889.                                                              Рабочая комиссия проведена 09.11.2021г.
</t>
    </r>
    <r>
      <rPr>
        <b/>
        <sz val="10"/>
        <rFont val="Times New Roman"/>
        <family val="1"/>
        <charset val="204"/>
      </rPr>
      <t>Объект сдан в эксплуатацию 24.11.2021г.</t>
    </r>
  </si>
  <si>
    <r>
      <t xml:space="preserve">Подрядчик на СМР   ИП "АЛЕКСЕЕВ НИКОЛАЙ НИКОЛАЕВИЧ"  Контракт заключен от 03.12.2020 № ЭА-12127;                                                                                                                                             Рабочая комиссия проведена 17.11.2021г. 
</t>
    </r>
    <r>
      <rPr>
        <b/>
        <sz val="10"/>
        <rFont val="Times New Roman"/>
        <family val="1"/>
        <charset val="204"/>
      </rPr>
      <t>Объект сдан в эксплуатацию 23.11.2021г.</t>
    </r>
  </si>
  <si>
    <r>
      <t xml:space="preserve">Подрядчик на СМР  ООО "СУ-77" Контракт заключен от 17.06.2020 № ЭА-5916;
</t>
    </r>
    <r>
      <rPr>
        <b/>
        <sz val="10"/>
        <rFont val="Times New Roman"/>
        <family val="1"/>
        <charset val="204"/>
      </rPr>
      <t>Рабочая комиссия произведена 05.10.2021г.
Акт приемки подписан 25.11.2021г.</t>
    </r>
  </si>
  <si>
    <r>
      <t>Подрядчик на СМР ООО "Транстройсаха" КОНТРАКТ от 16.03.2021 г. №ЭА/прСМП-1584. Р</t>
    </r>
    <r>
      <rPr>
        <b/>
        <sz val="10"/>
        <color theme="1"/>
        <rFont val="Times New Roman"/>
        <family val="1"/>
        <charset val="204"/>
      </rPr>
      <t>аботы выполнены. Объект сдан в эксплуатацию 13.12.2021г.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</si>
</sst>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00"/>
    <numFmt numFmtId="166" formatCode="#,##0.000000"/>
  </numFmts>
  <fonts count="15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indexed="17"/>
      <name val="Calibri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rgb="FFFFC7CE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4" fontId="6" fillId="0" borderId="1">
      <alignment horizontal="center" vertical="center" shrinkToFit="1"/>
    </xf>
    <xf numFmtId="0" fontId="1" fillId="0" borderId="0"/>
    <xf numFmtId="0" fontId="1" fillId="0" borderId="0"/>
    <xf numFmtId="0" fontId="4" fillId="0" borderId="0"/>
    <xf numFmtId="0" fontId="2" fillId="0" borderId="0"/>
    <xf numFmtId="0" fontId="1" fillId="0" borderId="0"/>
    <xf numFmtId="0" fontId="4" fillId="0" borderId="0"/>
    <xf numFmtId="0" fontId="11" fillId="0" borderId="0"/>
    <xf numFmtId="0" fontId="12" fillId="3" borderId="0" applyNumberFormat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2" borderId="0" applyNumberFormat="0" applyBorder="0" applyAlignment="0" applyProtection="0"/>
  </cellStyleXfs>
  <cellXfs count="135">
    <xf numFmtId="0" fontId="0" fillId="0" borderId="0" xfId="0"/>
    <xf numFmtId="0" fontId="2" fillId="0" borderId="0" xfId="0" applyFont="1"/>
    <xf numFmtId="0" fontId="3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4" fontId="3" fillId="5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4" fontId="2" fillId="0" borderId="0" xfId="0" applyNumberFormat="1" applyFont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/>
    <xf numFmtId="0" fontId="3" fillId="6" borderId="6" xfId="0" applyFont="1" applyFill="1" applyBorder="1" applyAlignment="1">
      <alignment horizontal="center" vertical="center" wrapText="1"/>
    </xf>
    <xf numFmtId="4" fontId="3" fillId="6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ont="1" applyFill="1"/>
    <xf numFmtId="0" fontId="2" fillId="7" borderId="5" xfId="0" applyFont="1" applyFill="1" applyBorder="1" applyAlignment="1">
      <alignment horizontal="center" vertical="center" wrapText="1"/>
    </xf>
    <xf numFmtId="43" fontId="2" fillId="7" borderId="5" xfId="10" applyFont="1" applyFill="1" applyBorder="1" applyAlignment="1">
      <alignment horizontal="center" vertical="center" wrapText="1"/>
    </xf>
    <xf numFmtId="43" fontId="2" fillId="7" borderId="5" xfId="10" applyFont="1" applyFill="1" applyBorder="1" applyAlignment="1">
      <alignment vertical="center" wrapText="1"/>
    </xf>
    <xf numFmtId="0" fontId="0" fillId="0" borderId="0" xfId="0" applyFont="1" applyFill="1"/>
    <xf numFmtId="0" fontId="9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3" fillId="6" borderId="0" xfId="0" applyNumberFormat="1" applyFont="1" applyFill="1" applyBorder="1" applyAlignment="1">
      <alignment horizontal="center" vertical="center" wrapText="1"/>
    </xf>
    <xf numFmtId="4" fontId="3" fillId="5" borderId="0" xfId="0" applyNumberFormat="1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43" fontId="2" fillId="7" borderId="7" xfId="10" applyFont="1" applyFill="1" applyBorder="1" applyAlignment="1">
      <alignment vertical="center" wrapText="1"/>
    </xf>
    <xf numFmtId="4" fontId="2" fillId="0" borderId="0" xfId="0" applyNumberFormat="1" applyFont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/>
    <xf numFmtId="43" fontId="7" fillId="0" borderId="0" xfId="10" applyFont="1" applyFill="1"/>
    <xf numFmtId="0" fontId="2" fillId="8" borderId="0" xfId="0" applyFont="1" applyFill="1" applyBorder="1" applyAlignment="1">
      <alignment horizontal="center" vertical="center" wrapText="1"/>
    </xf>
    <xf numFmtId="0" fontId="0" fillId="8" borderId="0" xfId="0" applyFill="1"/>
    <xf numFmtId="43" fontId="2" fillId="4" borderId="7" xfId="10" applyFont="1" applyFill="1" applyBorder="1" applyAlignment="1">
      <alignment vertical="center" wrapText="1"/>
    </xf>
    <xf numFmtId="43" fontId="2" fillId="4" borderId="5" xfId="1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43" fontId="2" fillId="4" borderId="5" xfId="10" applyFont="1" applyFill="1" applyBorder="1" applyAlignment="1">
      <alignment vertical="center" wrapText="1"/>
    </xf>
    <xf numFmtId="43" fontId="2" fillId="4" borderId="5" xfId="10" applyFont="1" applyFill="1" applyBorder="1" applyAlignment="1">
      <alignment vertical="center"/>
    </xf>
    <xf numFmtId="43" fontId="2" fillId="4" borderId="5" xfId="10" applyFont="1" applyFill="1" applyBorder="1" applyAlignment="1">
      <alignment horizontal="right" vertical="center" wrapText="1"/>
    </xf>
    <xf numFmtId="43" fontId="2" fillId="7" borderId="5" xfId="10" applyFont="1" applyFill="1" applyBorder="1" applyAlignment="1">
      <alignment horizontal="right" vertical="center" wrapText="1"/>
    </xf>
    <xf numFmtId="43" fontId="2" fillId="4" borderId="6" xfId="10" applyFont="1" applyFill="1" applyBorder="1" applyAlignment="1">
      <alignment horizontal="center" vertical="center" wrapText="1"/>
    </xf>
    <xf numFmtId="43" fontId="2" fillId="4" borderId="7" xfId="1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43" fontId="3" fillId="4" borderId="5" xfId="10" applyFont="1" applyFill="1" applyBorder="1" applyAlignment="1">
      <alignment vertical="center" wrapText="1"/>
    </xf>
    <xf numFmtId="0" fontId="13" fillId="4" borderId="5" xfId="0" applyFont="1" applyFill="1" applyBorder="1" applyAlignment="1">
      <alignment horizontal="center" vertical="center" wrapText="1"/>
    </xf>
    <xf numFmtId="43" fontId="13" fillId="4" borderId="5" xfId="10" applyFont="1" applyFill="1" applyBorder="1" applyAlignment="1">
      <alignment vertical="center" wrapText="1"/>
    </xf>
    <xf numFmtId="9" fontId="2" fillId="4" borderId="5" xfId="1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43" fontId="2" fillId="4" borderId="5" xfId="10" applyFont="1" applyFill="1" applyBorder="1" applyAlignment="1">
      <alignment horizontal="center" vertical="center" wrapText="1"/>
    </xf>
    <xf numFmtId="43" fontId="2" fillId="4" borderId="6" xfId="10" applyFont="1" applyFill="1" applyBorder="1" applyAlignment="1">
      <alignment horizontal="right" vertical="center" wrapText="1"/>
    </xf>
    <xf numFmtId="43" fontId="2" fillId="4" borderId="6" xfId="10" applyFont="1" applyFill="1" applyBorder="1" applyAlignment="1">
      <alignment vertical="center" wrapText="1"/>
    </xf>
    <xf numFmtId="0" fontId="2" fillId="4" borderId="5" xfId="0" applyFont="1" applyFill="1" applyBorder="1" applyAlignment="1">
      <alignment horizontal="center" vertical="center" wrapText="1"/>
    </xf>
    <xf numFmtId="9" fontId="2" fillId="4" borderId="5" xfId="10" applyNumberFormat="1" applyFont="1" applyFill="1" applyBorder="1" applyAlignment="1">
      <alignment horizontal="right" vertical="center" wrapText="1"/>
    </xf>
    <xf numFmtId="43" fontId="3" fillId="4" borderId="5" xfId="10" applyFont="1" applyFill="1" applyBorder="1" applyAlignment="1">
      <alignment horizontal="center" vertical="center" wrapText="1"/>
    </xf>
    <xf numFmtId="43" fontId="3" fillId="4" borderId="7" xfId="10" applyFont="1" applyFill="1" applyBorder="1" applyAlignment="1">
      <alignment vertical="center" wrapText="1"/>
    </xf>
    <xf numFmtId="43" fontId="3" fillId="4" borderId="5" xfId="10" applyFont="1" applyFill="1" applyBorder="1" applyAlignment="1">
      <alignment vertical="center"/>
    </xf>
    <xf numFmtId="43" fontId="14" fillId="4" borderId="5" xfId="10" applyFont="1" applyFill="1" applyBorder="1" applyAlignment="1">
      <alignment vertical="center" wrapText="1"/>
    </xf>
    <xf numFmtId="43" fontId="3" fillId="4" borderId="6" xfId="1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43" fontId="2" fillId="4" borderId="6" xfId="1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43" fontId="2" fillId="4" borderId="5" xfId="10" applyFont="1" applyFill="1" applyBorder="1" applyAlignment="1">
      <alignment horizontal="center" vertical="center" wrapText="1"/>
    </xf>
    <xf numFmtId="43" fontId="3" fillId="4" borderId="5" xfId="10" applyFont="1" applyFill="1" applyBorder="1" applyAlignment="1">
      <alignment horizontal="center" vertical="center" wrapText="1"/>
    </xf>
    <xf numFmtId="4" fontId="0" fillId="0" borderId="0" xfId="0" applyNumberFormat="1" applyFont="1"/>
    <xf numFmtId="43" fontId="2" fillId="4" borderId="5" xfId="1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43" fontId="2" fillId="4" borderId="7" xfId="1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3" fontId="2" fillId="4" borderId="5" xfId="1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43" fontId="2" fillId="4" borderId="5" xfId="10" applyFont="1" applyFill="1" applyBorder="1" applyAlignment="1">
      <alignment horizontal="center" vertical="center" wrapText="1"/>
    </xf>
    <xf numFmtId="43" fontId="2" fillId="4" borderId="5" xfId="10" applyFont="1" applyFill="1" applyBorder="1" applyAlignment="1">
      <alignment horizontal="center" vertical="center" wrapText="1"/>
    </xf>
    <xf numFmtId="43" fontId="2" fillId="4" borderId="7" xfId="1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left" vertical="center" wrapText="1"/>
    </xf>
    <xf numFmtId="43" fontId="2" fillId="4" borderId="5" xfId="10" applyFont="1" applyFill="1" applyBorder="1" applyAlignment="1">
      <alignment horizontal="center" vertical="center" wrapText="1"/>
    </xf>
    <xf numFmtId="43" fontId="2" fillId="4" borderId="5" xfId="10" applyFont="1" applyFill="1" applyBorder="1" applyAlignment="1">
      <alignment horizontal="center" vertical="center" wrapText="1"/>
    </xf>
    <xf numFmtId="43" fontId="2" fillId="0" borderId="0" xfId="0" applyNumberFormat="1" applyFont="1" applyFill="1" applyBorder="1" applyAlignment="1">
      <alignment horizontal="center" vertical="center" wrapText="1"/>
    </xf>
    <xf numFmtId="43" fontId="0" fillId="0" borderId="0" xfId="0" applyNumberFormat="1" applyFill="1"/>
    <xf numFmtId="43" fontId="0" fillId="0" borderId="0" xfId="0" applyNumberFormat="1" applyFont="1" applyFill="1"/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4" fontId="3" fillId="5" borderId="1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7" fillId="0" borderId="0" xfId="0" applyFont="1" applyFill="1"/>
    <xf numFmtId="4" fontId="3" fillId="0" borderId="5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4" fontId="2" fillId="4" borderId="5" xfId="10" applyNumberFormat="1" applyFont="1" applyFill="1" applyBorder="1" applyAlignment="1">
      <alignment horizontal="center" vertical="center" wrapText="1"/>
    </xf>
    <xf numFmtId="4" fontId="2" fillId="4" borderId="7" xfId="10" applyNumberFormat="1" applyFont="1" applyFill="1" applyBorder="1" applyAlignment="1">
      <alignment horizontal="center" vertical="center" wrapText="1"/>
    </xf>
    <xf numFmtId="4" fontId="2" fillId="4" borderId="5" xfId="10" applyNumberFormat="1" applyFont="1" applyFill="1" applyBorder="1" applyAlignment="1">
      <alignment horizontal="right" vertical="center" wrapText="1"/>
    </xf>
    <xf numFmtId="4" fontId="2" fillId="4" borderId="6" xfId="10" applyNumberFormat="1" applyFont="1" applyFill="1" applyBorder="1" applyAlignment="1">
      <alignment horizontal="center" vertical="center" wrapText="1"/>
    </xf>
    <xf numFmtId="165" fontId="3" fillId="5" borderId="2" xfId="0" applyNumberFormat="1" applyFont="1" applyFill="1" applyBorder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43" fontId="2" fillId="4" borderId="5" xfId="10" applyFont="1" applyFill="1" applyBorder="1" applyAlignment="1">
      <alignment horizontal="center" vertical="center" wrapText="1"/>
    </xf>
    <xf numFmtId="43" fontId="2" fillId="7" borderId="0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4" fontId="2" fillId="4" borderId="7" xfId="1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43" fontId="2" fillId="4" borderId="5" xfId="1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43" fontId="2" fillId="4" borderId="6" xfId="10" applyFont="1" applyFill="1" applyBorder="1" applyAlignment="1">
      <alignment horizontal="center" vertical="center" wrapText="1"/>
    </xf>
    <xf numFmtId="43" fontId="2" fillId="4" borderId="7" xfId="1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3" fontId="3" fillId="4" borderId="5" xfId="1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" fontId="2" fillId="4" borderId="6" xfId="10" applyNumberFormat="1" applyFont="1" applyFill="1" applyBorder="1" applyAlignment="1">
      <alignment horizontal="center" vertical="center" wrapText="1"/>
    </xf>
    <xf numFmtId="4" fontId="2" fillId="4" borderId="7" xfId="10" applyNumberFormat="1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7" borderId="6" xfId="0" applyFont="1" applyFill="1" applyBorder="1" applyAlignment="1">
      <alignment horizontal="left" vertical="center" wrapText="1"/>
    </xf>
  </cellXfs>
  <cellStyles count="13">
    <cellStyle name="xl51" xfId="1"/>
    <cellStyle name="Обычный" xfId="0" builtinId="0"/>
    <cellStyle name="Обычный 2" xfId="2"/>
    <cellStyle name="Обычный 2 2" xfId="3"/>
    <cellStyle name="Обычный 2 3" xfId="4"/>
    <cellStyle name="Обычный 2 4" xfId="5"/>
    <cellStyle name="Обычный 3" xfId="6"/>
    <cellStyle name="Обычный 4" xfId="7"/>
    <cellStyle name="Обычный 5" xfId="8"/>
    <cellStyle name="Плохой 2" xfId="9"/>
    <cellStyle name="Финансовый" xfId="10" builtinId="3"/>
    <cellStyle name="Финансовый 2" xfId="11"/>
    <cellStyle name="Хороший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"/>
  <sheetViews>
    <sheetView tabSelected="1" view="pageBreakPreview" zoomScale="70" zoomScaleNormal="85" zoomScaleSheetLayoutView="70" workbookViewId="0">
      <pane xSplit="5" ySplit="9" topLeftCell="F13" activePane="bottomRight" state="frozen"/>
      <selection pane="topRight" activeCell="F1" sqref="F1"/>
      <selection pane="bottomLeft" activeCell="A12" sqref="A12"/>
      <selection pane="bottomRight" activeCell="P17" sqref="P17"/>
    </sheetView>
  </sheetViews>
  <sheetFormatPr defaultRowHeight="12.75" x14ac:dyDescent="0.2"/>
  <cols>
    <col min="1" max="1" width="4.42578125" style="14" customWidth="1"/>
    <col min="2" max="2" width="55.42578125" customWidth="1"/>
    <col min="3" max="3" width="6.5703125" customWidth="1"/>
    <col min="4" max="4" width="8.5703125" customWidth="1"/>
    <col min="5" max="5" width="8.85546875" customWidth="1"/>
    <col min="6" max="6" width="17.28515625" customWidth="1"/>
    <col min="7" max="7" width="14.42578125" customWidth="1"/>
    <col min="8" max="8" width="17.42578125" customWidth="1"/>
    <col min="9" max="9" width="17.140625" customWidth="1"/>
    <col min="10" max="10" width="15.140625" customWidth="1"/>
    <col min="11" max="11" width="13.28515625" customWidth="1"/>
    <col min="12" max="15" width="14.7109375" customWidth="1"/>
    <col min="16" max="16" width="76.5703125" customWidth="1"/>
    <col min="17" max="17" width="15.7109375" customWidth="1"/>
    <col min="18" max="18" width="16.85546875" bestFit="1" customWidth="1"/>
    <col min="19" max="19" width="16.42578125" bestFit="1" customWidth="1"/>
  </cols>
  <sheetData>
    <row r="1" spans="1:24" ht="12.75" customHeight="1" x14ac:dyDescent="0.3">
      <c r="A1" s="122" t="s">
        <v>41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20"/>
    </row>
    <row r="2" spans="1:24" ht="20.25" customHeight="1" x14ac:dyDescent="0.3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20"/>
    </row>
    <row r="3" spans="1:24" hidden="1" x14ac:dyDescent="0.2">
      <c r="A3" s="13"/>
      <c r="B3" s="1"/>
      <c r="C3" s="1"/>
      <c r="D3" s="1"/>
      <c r="E3" s="1"/>
      <c r="F3" s="1"/>
      <c r="G3" s="1"/>
      <c r="H3" s="1"/>
      <c r="I3" s="8"/>
      <c r="J3" s="8"/>
      <c r="K3" s="8"/>
      <c r="L3" s="8"/>
      <c r="M3" s="8"/>
      <c r="N3" s="8"/>
      <c r="O3" s="8"/>
      <c r="P3" s="1"/>
      <c r="Q3" s="1"/>
    </row>
    <row r="4" spans="1:24" x14ac:dyDescent="0.2">
      <c r="A4" s="13"/>
      <c r="B4" s="1"/>
      <c r="C4" s="1"/>
      <c r="D4" s="1"/>
      <c r="E4" s="1" t="s">
        <v>83</v>
      </c>
      <c r="F4" s="1">
        <v>210.27</v>
      </c>
      <c r="G4" s="30">
        <f>F4-F8</f>
        <v>-10.807999999999964</v>
      </c>
      <c r="H4" s="1" t="s">
        <v>82</v>
      </c>
      <c r="I4" s="8">
        <v>2158440.9590700003</v>
      </c>
      <c r="J4" s="8"/>
      <c r="K4" s="8"/>
      <c r="L4" s="8"/>
      <c r="M4" s="8"/>
      <c r="N4" s="8"/>
      <c r="O4" s="8"/>
      <c r="P4" s="1"/>
      <c r="Q4" s="1"/>
    </row>
    <row r="5" spans="1:24" ht="43.5" customHeight="1" x14ac:dyDescent="0.2">
      <c r="A5" s="115" t="s">
        <v>0</v>
      </c>
      <c r="B5" s="115" t="s">
        <v>1</v>
      </c>
      <c r="C5" s="115" t="s">
        <v>10</v>
      </c>
      <c r="D5" s="115" t="s">
        <v>6</v>
      </c>
      <c r="E5" s="115"/>
      <c r="F5" s="9" t="s">
        <v>16</v>
      </c>
      <c r="G5" s="116" t="s">
        <v>81</v>
      </c>
      <c r="H5" s="119" t="s">
        <v>78</v>
      </c>
      <c r="I5" s="120"/>
      <c r="J5" s="114" t="s">
        <v>89</v>
      </c>
      <c r="K5" s="114"/>
      <c r="L5" s="123" t="s">
        <v>90</v>
      </c>
      <c r="M5" s="123" t="s">
        <v>91</v>
      </c>
      <c r="N5" s="114" t="s">
        <v>92</v>
      </c>
      <c r="O5" s="114"/>
      <c r="P5" s="115" t="s">
        <v>2</v>
      </c>
      <c r="Q5" s="21"/>
    </row>
    <row r="6" spans="1:24" ht="2.25" hidden="1" customHeight="1" x14ac:dyDescent="0.2">
      <c r="A6" s="115"/>
      <c r="B6" s="115"/>
      <c r="C6" s="115"/>
      <c r="D6" s="115" t="s">
        <v>7</v>
      </c>
      <c r="E6" s="115" t="s">
        <v>8</v>
      </c>
      <c r="F6" s="115" t="s">
        <v>3</v>
      </c>
      <c r="G6" s="117"/>
      <c r="H6" s="26"/>
      <c r="I6" s="28"/>
      <c r="J6" s="28"/>
      <c r="K6" s="27"/>
      <c r="L6" s="124"/>
      <c r="M6" s="124"/>
      <c r="N6" s="70"/>
      <c r="O6" s="70"/>
      <c r="P6" s="115"/>
      <c r="Q6" s="21"/>
    </row>
    <row r="7" spans="1:24" ht="30" customHeight="1" x14ac:dyDescent="0.2">
      <c r="A7" s="115"/>
      <c r="B7" s="115"/>
      <c r="C7" s="115"/>
      <c r="D7" s="115"/>
      <c r="E7" s="115"/>
      <c r="F7" s="115"/>
      <c r="G7" s="118"/>
      <c r="H7" s="26" t="s">
        <v>79</v>
      </c>
      <c r="I7" s="27" t="s">
        <v>80</v>
      </c>
      <c r="J7" s="27" t="s">
        <v>95</v>
      </c>
      <c r="K7" s="27" t="s">
        <v>94</v>
      </c>
      <c r="L7" s="125"/>
      <c r="M7" s="125"/>
      <c r="N7" s="70" t="s">
        <v>103</v>
      </c>
      <c r="O7" s="70" t="s">
        <v>102</v>
      </c>
      <c r="P7" s="128"/>
      <c r="Q7" s="22"/>
    </row>
    <row r="8" spans="1:24" ht="13.5" thickBot="1" x14ac:dyDescent="0.25">
      <c r="A8" s="11"/>
      <c r="B8" s="11" t="s">
        <v>4</v>
      </c>
      <c r="C8" s="11"/>
      <c r="D8" s="11"/>
      <c r="E8" s="11"/>
      <c r="F8" s="12">
        <f>F9+F39</f>
        <v>221.07799999999997</v>
      </c>
      <c r="G8" s="12">
        <f>G9+G39</f>
        <v>2939480.1482900004</v>
      </c>
      <c r="H8" s="12">
        <f t="shared" ref="H8:O8" si="0">H9+H39</f>
        <v>559000</v>
      </c>
      <c r="I8" s="12">
        <f t="shared" si="0"/>
        <v>2380480.1482900004</v>
      </c>
      <c r="J8" s="12">
        <f t="shared" si="0"/>
        <v>73563.706439999994</v>
      </c>
      <c r="K8" s="12">
        <f t="shared" si="0"/>
        <v>3.2787489787740952E-2</v>
      </c>
      <c r="L8" s="12">
        <f t="shared" si="0"/>
        <v>2842813.9578499999</v>
      </c>
      <c r="M8" s="12">
        <f t="shared" si="0"/>
        <v>2843413.9742500004</v>
      </c>
      <c r="N8" s="12">
        <f t="shared" si="0"/>
        <v>559000</v>
      </c>
      <c r="O8" s="12">
        <f t="shared" si="0"/>
        <v>2284413.9738300005</v>
      </c>
      <c r="P8" s="12"/>
      <c r="Q8" s="23"/>
    </row>
    <row r="9" spans="1:24" s="7" customFormat="1" ht="29.25" customHeight="1" thickBot="1" x14ac:dyDescent="0.25">
      <c r="A9" s="2"/>
      <c r="B9" s="3" t="s">
        <v>5</v>
      </c>
      <c r="C9" s="3"/>
      <c r="D9" s="4"/>
      <c r="E9" s="5"/>
      <c r="F9" s="6">
        <f>F10+F35</f>
        <v>221.07799999999997</v>
      </c>
      <c r="G9" s="6">
        <f>G10+G35</f>
        <v>2843413.9578500004</v>
      </c>
      <c r="H9" s="99">
        <f t="shared" ref="H9:O9" si="1">H10+H35</f>
        <v>559000</v>
      </c>
      <c r="I9" s="99">
        <f t="shared" si="1"/>
        <v>2284413.9578500004</v>
      </c>
      <c r="J9" s="6">
        <f t="shared" si="1"/>
        <v>73563.706439999994</v>
      </c>
      <c r="K9" s="6">
        <f t="shared" si="1"/>
        <v>3.2787489787740952E-2</v>
      </c>
      <c r="L9" s="6">
        <f t="shared" si="1"/>
        <v>2842813.9578499999</v>
      </c>
      <c r="M9" s="6">
        <f t="shared" si="1"/>
        <v>2843413.9742500004</v>
      </c>
      <c r="N9" s="6">
        <f t="shared" si="1"/>
        <v>559000</v>
      </c>
      <c r="O9" s="6">
        <f t="shared" si="1"/>
        <v>2284413.9738300005</v>
      </c>
      <c r="P9" s="6"/>
      <c r="Q9" s="24"/>
      <c r="X9" s="7" t="s">
        <v>9</v>
      </c>
    </row>
    <row r="10" spans="1:24" s="92" customFormat="1" ht="34.5" customHeight="1" x14ac:dyDescent="0.2">
      <c r="A10" s="9"/>
      <c r="B10" s="9" t="s">
        <v>104</v>
      </c>
      <c r="C10" s="9"/>
      <c r="D10" s="9"/>
      <c r="E10" s="9"/>
      <c r="F10" s="94">
        <f>F11+F13+F15+F16+F17+F18+F19+F20+F21+F22+F23+F24+F25+F26+F27+F28+F29+F30+F31+F32+F33+F34</f>
        <v>220.07799999999997</v>
      </c>
      <c r="G10" s="93">
        <f>G11+G13+G15+G16+G17+G18+G19+G20+G21+G23+G24+G25+G26+G27+G28+G29+G30+G31+G32+G33+G34+G12+G14</f>
        <v>2802651.6767900004</v>
      </c>
      <c r="H10" s="100">
        <f>H11+H13+H15+H16+H17+H18+H19+H20+H21+H22+H23+H24+H25+H26+H27+H28+H29+H30+H31+H32+H33+H34</f>
        <v>559000</v>
      </c>
      <c r="I10" s="100">
        <f>I11+I13+I15+I16+I17+I18+I19+I20+I21+I22+I23+I24+I25+I26+I27+I28+I29+I30+I31+I32+I33+I34+I14+I12</f>
        <v>2243651.6767900004</v>
      </c>
      <c r="J10" s="93">
        <f>J11+J12+J13+J14+J15+J16+J17+J18+J19+J20+J21+J23+J24+J25+J26+J28+J29+J30+J31+J32+J33+J34</f>
        <v>73563.706439999994</v>
      </c>
      <c r="K10" s="93">
        <f>J10/I10</f>
        <v>3.2787489787740952E-2</v>
      </c>
      <c r="L10" s="93">
        <f>L11+L12+L13+L14+L15+L16+L17+L18+L19+L21+L20+L23+L24+L25+L26+L28+L29+L30+L31+L32+L33+L34</f>
        <v>2802051.6767899999</v>
      </c>
      <c r="M10" s="93">
        <f>M11+M12+M13+M14+M15+M16+M17+M18+M19+M20+M21+M22+M23+M24+M25+M26+M28+M29+M30+M31+M32+M33+M34</f>
        <v>2802651.6931900005</v>
      </c>
      <c r="N10" s="93">
        <f>N11+N12+N13+N14+N15+N16+N17+N18+N19+N20+N21+N22+N23+N24+N25+N26+N28+N29+N30+N31+N32+N33+N34</f>
        <v>559000</v>
      </c>
      <c r="O10" s="93">
        <f>O11+O12+O13+O14+O15+O16+O17+O18+O19+O20+O21+O22+O23+O24+O25+O26+O28+O29+O30+O31+O32+O33+O34</f>
        <v>2243651.6927700005</v>
      </c>
      <c r="P10" s="91"/>
      <c r="Q10" s="85"/>
    </row>
    <row r="11" spans="1:24" s="32" customFormat="1" ht="82.5" customHeight="1" x14ac:dyDescent="0.2">
      <c r="A11" s="110">
        <v>1</v>
      </c>
      <c r="B11" s="63" t="s">
        <v>55</v>
      </c>
      <c r="C11" s="110">
        <v>1</v>
      </c>
      <c r="D11" s="108" t="s">
        <v>63</v>
      </c>
      <c r="E11" s="108" t="s">
        <v>64</v>
      </c>
      <c r="F11" s="109">
        <v>18.5</v>
      </c>
      <c r="G11" s="39">
        <f t="shared" ref="G11" si="2">SUM(H11:I11)</f>
        <v>339061.44</v>
      </c>
      <c r="H11" s="46"/>
      <c r="I11" s="64">
        <f>L11</f>
        <v>339061.44</v>
      </c>
      <c r="J11" s="95">
        <f t="shared" ref="J11" si="3">G11-L11</f>
        <v>0</v>
      </c>
      <c r="K11" s="64"/>
      <c r="L11" s="64">
        <v>339061.44</v>
      </c>
      <c r="M11" s="64">
        <f>(41194355.69+57523531.89+30615112.84+78421327+63353625.36+65894057.52+2059434.55)/1000</f>
        <v>339061.44485000003</v>
      </c>
      <c r="N11" s="67"/>
      <c r="O11" s="64">
        <f>(55427677.6+32955484.55+46018825.51+24492090.27+62737061.6+50682900.29+52715246.02+11972724.46+2059434.55)/1000</f>
        <v>339061.44484999997</v>
      </c>
      <c r="P11" s="106" t="s">
        <v>126</v>
      </c>
      <c r="Q11" s="80"/>
      <c r="R11" s="81"/>
      <c r="S11" s="81"/>
    </row>
    <row r="12" spans="1:24" s="32" customFormat="1" ht="30" customHeight="1" x14ac:dyDescent="0.2">
      <c r="A12" s="111"/>
      <c r="B12" s="63" t="s">
        <v>87</v>
      </c>
      <c r="C12" s="111"/>
      <c r="D12" s="108"/>
      <c r="E12" s="108"/>
      <c r="F12" s="109"/>
      <c r="G12" s="39">
        <f>I12</f>
        <v>5333.8760000000002</v>
      </c>
      <c r="H12" s="46"/>
      <c r="I12" s="64">
        <f>5333876/1000</f>
        <v>5333.8760000000002</v>
      </c>
      <c r="J12" s="95">
        <f>G12-L12</f>
        <v>0</v>
      </c>
      <c r="K12" s="64"/>
      <c r="L12" s="64">
        <f>5333876/1000</f>
        <v>5333.8760000000002</v>
      </c>
      <c r="M12" s="64">
        <f>(648040.61+904919.72+481615.41+1233669.12+996634.64+1036598.93+32397.57)/1000</f>
        <v>5333.8760000000002</v>
      </c>
      <c r="N12" s="67"/>
      <c r="O12" s="64">
        <f>M12</f>
        <v>5333.8760000000002</v>
      </c>
      <c r="P12" s="63" t="s">
        <v>93</v>
      </c>
      <c r="Q12" s="31"/>
    </row>
    <row r="13" spans="1:24" s="19" customFormat="1" ht="74.25" customHeight="1" x14ac:dyDescent="0.2">
      <c r="A13" s="110">
        <v>2</v>
      </c>
      <c r="B13" s="63" t="s">
        <v>53</v>
      </c>
      <c r="C13" s="110">
        <v>2</v>
      </c>
      <c r="D13" s="110" t="s">
        <v>33</v>
      </c>
      <c r="E13" s="110" t="s">
        <v>34</v>
      </c>
      <c r="F13" s="112">
        <f>143-139</f>
        <v>4</v>
      </c>
      <c r="G13" s="39">
        <f t="shared" ref="G13" si="4">SUM(H13:I13)</f>
        <v>176071.67683000001</v>
      </c>
      <c r="H13" s="46">
        <v>100000</v>
      </c>
      <c r="I13" s="64">
        <f>176071.67683-100000</f>
        <v>76071.676830000011</v>
      </c>
      <c r="J13" s="95">
        <f>G13-L13</f>
        <v>0</v>
      </c>
      <c r="K13" s="64"/>
      <c r="L13" s="64">
        <v>176071.67683000001</v>
      </c>
      <c r="M13" s="102">
        <f>N13+O13</f>
        <v>176071.67683000001</v>
      </c>
      <c r="N13" s="67">
        <f>(3143537.7+913897.26+6445078.79+13142296.64+41651598.74+34703590.87)/1000</f>
        <v>100000</v>
      </c>
      <c r="O13" s="64">
        <f>(12992451.88+12463284.52+34863884.66+15752055.77)/1000</f>
        <v>76071.676829999997</v>
      </c>
      <c r="P13" s="77" t="s">
        <v>121</v>
      </c>
      <c r="Q13" s="80"/>
      <c r="R13" s="82"/>
      <c r="X13" s="19" t="s">
        <v>14</v>
      </c>
    </row>
    <row r="14" spans="1:24" s="15" customFormat="1" ht="34.5" customHeight="1" x14ac:dyDescent="0.2">
      <c r="A14" s="111"/>
      <c r="B14" s="72" t="s">
        <v>87</v>
      </c>
      <c r="C14" s="111"/>
      <c r="D14" s="111"/>
      <c r="E14" s="111"/>
      <c r="F14" s="113"/>
      <c r="G14" s="39">
        <f>600000/1000</f>
        <v>600</v>
      </c>
      <c r="H14" s="46"/>
      <c r="I14" s="39">
        <f>600000/1000</f>
        <v>600</v>
      </c>
      <c r="J14" s="95">
        <v>0</v>
      </c>
      <c r="K14" s="71"/>
      <c r="L14" s="39">
        <v>0</v>
      </c>
      <c r="M14" s="71">
        <f>600</f>
        <v>600</v>
      </c>
      <c r="N14" s="71"/>
      <c r="O14" s="71">
        <f>600</f>
        <v>600</v>
      </c>
      <c r="P14" s="101" t="s">
        <v>106</v>
      </c>
      <c r="Q14" s="73"/>
    </row>
    <row r="15" spans="1:24" s="32" customFormat="1" ht="79.5" customHeight="1" x14ac:dyDescent="0.2">
      <c r="A15" s="45">
        <v>3</v>
      </c>
      <c r="B15" s="84" t="s">
        <v>56</v>
      </c>
      <c r="C15" s="45">
        <v>3</v>
      </c>
      <c r="D15" s="45" t="s">
        <v>12</v>
      </c>
      <c r="E15" s="45" t="s">
        <v>17</v>
      </c>
      <c r="F15" s="36">
        <v>5</v>
      </c>
      <c r="G15" s="36">
        <f>SUM(H15:I15)</f>
        <v>30834.66</v>
      </c>
      <c r="H15" s="57"/>
      <c r="I15" s="44">
        <v>30834.66</v>
      </c>
      <c r="J15" s="96">
        <f t="shared" ref="J15:J31" si="5">G15-L15</f>
        <v>0</v>
      </c>
      <c r="K15" s="44"/>
      <c r="L15" s="44">
        <v>30834.66</v>
      </c>
      <c r="M15" s="44">
        <f>(4043670.44+3117018.34+3049224.05+13055697.65+7569056.13)/1000</f>
        <v>30834.666609999997</v>
      </c>
      <c r="N15" s="69"/>
      <c r="O15" s="76">
        <f>(4043670.44+2973125.94+143892.4+3049224.05+13055697.65+7569056.13)/1000</f>
        <v>30834.66661</v>
      </c>
      <c r="P15" s="104" t="s">
        <v>122</v>
      </c>
      <c r="Q15" s="31"/>
    </row>
    <row r="16" spans="1:24" s="32" customFormat="1" ht="51" customHeight="1" x14ac:dyDescent="0.2">
      <c r="A16" s="38">
        <v>4</v>
      </c>
      <c r="B16" s="38" t="s">
        <v>57</v>
      </c>
      <c r="C16" s="38">
        <v>4</v>
      </c>
      <c r="D16" s="38" t="s">
        <v>40</v>
      </c>
      <c r="E16" s="38" t="s">
        <v>73</v>
      </c>
      <c r="F16" s="39">
        <v>20</v>
      </c>
      <c r="G16" s="39">
        <f t="shared" ref="G16:G33" si="6">SUM(H16:I16)</f>
        <v>90207.178109999993</v>
      </c>
      <c r="H16" s="46"/>
      <c r="I16" s="37">
        <f>90207178.11/1000</f>
        <v>90207.178109999993</v>
      </c>
      <c r="J16" s="107">
        <f t="shared" si="5"/>
        <v>0</v>
      </c>
      <c r="K16" s="37"/>
      <c r="L16" s="37">
        <f>90207.17811</f>
        <v>90207.178109999993</v>
      </c>
      <c r="M16" s="37">
        <f>(2564353.64+3546537.28+5570470.05+5449604.8+5525653.59+8706568.37+28937728.17+28813536.93+1092725.28)/1000</f>
        <v>90207.178109999993</v>
      </c>
      <c r="N16" s="67"/>
      <c r="O16" s="102">
        <f>(2564353.64+3546537.28+5570470.05+5449604.8+5525653.59+8706568.37+28937728.17+28813536.93+1092725.28)/1000</f>
        <v>90207.178109999993</v>
      </c>
      <c r="P16" s="105" t="s">
        <v>123</v>
      </c>
      <c r="Q16" s="31"/>
    </row>
    <row r="17" spans="1:18" s="32" customFormat="1" ht="83.25" customHeight="1" x14ac:dyDescent="0.2">
      <c r="A17" s="47">
        <v>5</v>
      </c>
      <c r="B17" s="47" t="s">
        <v>54</v>
      </c>
      <c r="C17" s="47">
        <v>5</v>
      </c>
      <c r="D17" s="47" t="s">
        <v>11</v>
      </c>
      <c r="E17" s="47" t="s">
        <v>18</v>
      </c>
      <c r="F17" s="48">
        <v>10</v>
      </c>
      <c r="G17" s="39">
        <f>SUM(H17:I17)</f>
        <v>123853.1777</v>
      </c>
      <c r="H17" s="59"/>
      <c r="I17" s="64">
        <f>123853177.7/1000</f>
        <v>123853.1777</v>
      </c>
      <c r="J17" s="107">
        <f t="shared" si="5"/>
        <v>0</v>
      </c>
      <c r="K17" s="49">
        <f>J17/I17</f>
        <v>0</v>
      </c>
      <c r="L17" s="64">
        <f>123853177.7/1000</f>
        <v>123853.1777</v>
      </c>
      <c r="M17" s="64">
        <f>123853177.7/1000</f>
        <v>123853.1777</v>
      </c>
      <c r="N17" s="67"/>
      <c r="O17" s="74">
        <f>M17</f>
        <v>123853.1777</v>
      </c>
      <c r="P17" s="131" t="s">
        <v>127</v>
      </c>
      <c r="Q17" s="31"/>
    </row>
    <row r="18" spans="1:18" s="19" customFormat="1" ht="67.5" customHeight="1" x14ac:dyDescent="0.2">
      <c r="A18" s="38">
        <v>6</v>
      </c>
      <c r="B18" s="38" t="s">
        <v>107</v>
      </c>
      <c r="C18" s="38">
        <v>6</v>
      </c>
      <c r="D18" s="38"/>
      <c r="E18" s="38"/>
      <c r="F18" s="39">
        <v>7.13</v>
      </c>
      <c r="G18" s="39">
        <f t="shared" si="6"/>
        <v>107528.90674999999</v>
      </c>
      <c r="H18" s="46"/>
      <c r="I18" s="37">
        <f>107528906.75/1000</f>
        <v>107528.90674999999</v>
      </c>
      <c r="J18" s="95">
        <f t="shared" si="5"/>
        <v>0</v>
      </c>
      <c r="K18" s="49">
        <f>J18/I18</f>
        <v>0</v>
      </c>
      <c r="L18" s="37">
        <f>107528906.75/1000</f>
        <v>107528.90674999999</v>
      </c>
      <c r="M18" s="37">
        <f>L18</f>
        <v>107528.90674999999</v>
      </c>
      <c r="N18" s="67"/>
      <c r="O18" s="37">
        <f>M18</f>
        <v>107528.90674999999</v>
      </c>
      <c r="P18" s="132" t="s">
        <v>110</v>
      </c>
      <c r="Q18" s="31"/>
    </row>
    <row r="19" spans="1:18" ht="57" customHeight="1" x14ac:dyDescent="0.2">
      <c r="A19" s="108">
        <v>7</v>
      </c>
      <c r="B19" s="63" t="s">
        <v>70</v>
      </c>
      <c r="C19" s="63">
        <v>7</v>
      </c>
      <c r="D19" s="63" t="s">
        <v>68</v>
      </c>
      <c r="E19" s="63" t="s">
        <v>69</v>
      </c>
      <c r="F19" s="64">
        <v>15.92</v>
      </c>
      <c r="G19" s="39">
        <f t="shared" ref="G19" si="7">SUM(H19:I19)</f>
        <v>160684.31631999998</v>
      </c>
      <c r="H19" s="65"/>
      <c r="I19" s="41">
        <f>160684316.32/1000</f>
        <v>160684.31631999998</v>
      </c>
      <c r="J19" s="98">
        <f>G19-L19</f>
        <v>0</v>
      </c>
      <c r="K19" s="49">
        <f>J19/I19</f>
        <v>0</v>
      </c>
      <c r="L19" s="41">
        <f>160684316.32/1000</f>
        <v>160684.31631999998</v>
      </c>
      <c r="M19" s="41">
        <f>(4246680.05+59919954.34+39097215.07+57420466.86)/1000</f>
        <v>160684.31631999998</v>
      </c>
      <c r="N19" s="41"/>
      <c r="O19" s="41">
        <f>(4246680.05+59919954.34+39097215.07+57420466.86)/1000</f>
        <v>160684.31631999998</v>
      </c>
      <c r="P19" s="133" t="s">
        <v>111</v>
      </c>
      <c r="Q19" s="25"/>
    </row>
    <row r="20" spans="1:18" s="35" customFormat="1" ht="55.5" customHeight="1" x14ac:dyDescent="0.2">
      <c r="A20" s="110"/>
      <c r="B20" s="61" t="s">
        <v>84</v>
      </c>
      <c r="C20" s="61">
        <v>8</v>
      </c>
      <c r="D20" s="61" t="s">
        <v>85</v>
      </c>
      <c r="E20" s="61" t="s">
        <v>20</v>
      </c>
      <c r="F20" s="62">
        <v>10.7</v>
      </c>
      <c r="G20" s="53">
        <f t="shared" ref="G20" si="8">SUM(H20:I20)</f>
        <v>106204.96339</v>
      </c>
      <c r="H20" s="60"/>
      <c r="I20" s="52">
        <f>106204963.39/1000</f>
        <v>106204.96339</v>
      </c>
      <c r="J20" s="98">
        <f>G20-L20</f>
        <v>0</v>
      </c>
      <c r="K20" s="49">
        <f>J20/I20</f>
        <v>0</v>
      </c>
      <c r="L20" s="52">
        <f>106204963.39/1000</f>
        <v>106204.96339</v>
      </c>
      <c r="M20" s="52">
        <f>(3590337.38+24313652.15+36314665.9+41103796.4+882511.56)/1000</f>
        <v>106204.96338999999</v>
      </c>
      <c r="N20" s="52"/>
      <c r="O20" s="52">
        <f>(3590337.38+24313652.15+20902784.93+15411880.97+37087162.15+1988069.26+2028564.57+882511.56)/1000</f>
        <v>106204.96296999998</v>
      </c>
      <c r="P20" s="134"/>
      <c r="Q20" s="34"/>
    </row>
    <row r="21" spans="1:18" s="19" customFormat="1" ht="62.25" customHeight="1" x14ac:dyDescent="0.2">
      <c r="A21" s="108">
        <v>8</v>
      </c>
      <c r="B21" s="38" t="s">
        <v>52</v>
      </c>
      <c r="C21" s="38">
        <v>9</v>
      </c>
      <c r="D21" s="38" t="s">
        <v>21</v>
      </c>
      <c r="E21" s="38" t="s">
        <v>22</v>
      </c>
      <c r="F21" s="39">
        <v>5</v>
      </c>
      <c r="G21" s="109">
        <f>SUM(H21:I21)</f>
        <v>104106.00895</v>
      </c>
      <c r="H21" s="121"/>
      <c r="I21" s="109">
        <f>104106008.95/1000</f>
        <v>104106.00895</v>
      </c>
      <c r="J21" s="129">
        <f t="shared" si="5"/>
        <v>0</v>
      </c>
      <c r="K21" s="43"/>
      <c r="L21" s="112">
        <f>104106008.95/1000</f>
        <v>104106.00895</v>
      </c>
      <c r="M21" s="37">
        <f>(15032109.69+1337945.99+13291201.8+15999939.47+7605684+12505179.45)/1000</f>
        <v>65772.060400000002</v>
      </c>
      <c r="N21" s="67"/>
      <c r="O21" s="64">
        <f>M21</f>
        <v>65772.060400000002</v>
      </c>
      <c r="P21" s="126" t="s">
        <v>113</v>
      </c>
      <c r="Q21" s="31"/>
    </row>
    <row r="22" spans="1:18" s="19" customFormat="1" ht="57.75" customHeight="1" x14ac:dyDescent="0.2">
      <c r="A22" s="108"/>
      <c r="B22" s="38" t="s">
        <v>51</v>
      </c>
      <c r="C22" s="38">
        <v>10</v>
      </c>
      <c r="D22" s="38" t="s">
        <v>23</v>
      </c>
      <c r="E22" s="38" t="s">
        <v>24</v>
      </c>
      <c r="F22" s="39">
        <v>5</v>
      </c>
      <c r="G22" s="109"/>
      <c r="H22" s="121"/>
      <c r="I22" s="127"/>
      <c r="J22" s="130">
        <f t="shared" si="5"/>
        <v>0</v>
      </c>
      <c r="K22" s="44"/>
      <c r="L22" s="113"/>
      <c r="M22" s="78">
        <f>(1870212.16+6742535.46+256718.62+2316441.62+9079041.43+18068999.26)/1000</f>
        <v>38333.948549999994</v>
      </c>
      <c r="N22" s="68"/>
      <c r="O22" s="79">
        <f>M22</f>
        <v>38333.948549999994</v>
      </c>
      <c r="P22" s="126"/>
      <c r="Q22" s="31"/>
    </row>
    <row r="23" spans="1:18" s="19" customFormat="1" ht="69" customHeight="1" x14ac:dyDescent="0.2">
      <c r="A23" s="63">
        <v>9</v>
      </c>
      <c r="B23" s="63" t="s">
        <v>76</v>
      </c>
      <c r="C23" s="63">
        <v>11</v>
      </c>
      <c r="D23" s="63" t="s">
        <v>75</v>
      </c>
      <c r="E23" s="63" t="s">
        <v>74</v>
      </c>
      <c r="F23" s="39">
        <v>7.8</v>
      </c>
      <c r="G23" s="39">
        <f>SUM(H23:I23)</f>
        <v>44893.64</v>
      </c>
      <c r="H23" s="46"/>
      <c r="I23" s="64">
        <v>44893.64</v>
      </c>
      <c r="J23" s="95">
        <v>0</v>
      </c>
      <c r="K23" s="49">
        <v>0</v>
      </c>
      <c r="L23" s="64">
        <v>44893.64</v>
      </c>
      <c r="M23" s="64">
        <f>(9870942.25+4935471.12+1674804+4935470.95+1918168.12+4461164.36+8706769.8+6149889.74+2240964.6)/1000</f>
        <v>44893.644940000006</v>
      </c>
      <c r="N23" s="67"/>
      <c r="O23" s="75">
        <f>(9870942.25+4935471.12+1674804+4935470.95+1918168.12+4461164.36+8706769.8+6149889.74+2240964.6)/1000</f>
        <v>44893.644940000006</v>
      </c>
      <c r="P23" s="132" t="s">
        <v>114</v>
      </c>
      <c r="Q23" s="31"/>
    </row>
    <row r="24" spans="1:18" s="19" customFormat="1" ht="69" customHeight="1" x14ac:dyDescent="0.2">
      <c r="A24" s="38">
        <v>10</v>
      </c>
      <c r="B24" s="38" t="s">
        <v>71</v>
      </c>
      <c r="C24" s="38">
        <v>12</v>
      </c>
      <c r="D24" s="38" t="s">
        <v>25</v>
      </c>
      <c r="E24" s="38" t="s">
        <v>26</v>
      </c>
      <c r="F24" s="39">
        <v>5</v>
      </c>
      <c r="G24" s="39">
        <f t="shared" si="6"/>
        <v>25871.91763</v>
      </c>
      <c r="H24" s="46"/>
      <c r="I24" s="37">
        <v>25871.91763</v>
      </c>
      <c r="J24" s="95">
        <f t="shared" si="5"/>
        <v>0</v>
      </c>
      <c r="K24" s="37">
        <f>J24/I24</f>
        <v>0</v>
      </c>
      <c r="L24" s="37">
        <v>25871.91763</v>
      </c>
      <c r="M24" s="37">
        <f>(2989914.05+8462904.63+968909.89+622716.92+4131155.28+8696316.86)/1000</f>
        <v>25871.91763</v>
      </c>
      <c r="N24" s="67"/>
      <c r="O24" s="37">
        <f>(2989914.05+8462904.63+968909.89+622716.92+4131155.28+8576742.5+119574.36)/1000</f>
        <v>25871.91763</v>
      </c>
      <c r="P24" s="132" t="s">
        <v>125</v>
      </c>
      <c r="Q24" s="31"/>
    </row>
    <row r="25" spans="1:18" s="19" customFormat="1" ht="80.25" customHeight="1" x14ac:dyDescent="0.2">
      <c r="A25" s="38">
        <v>11</v>
      </c>
      <c r="B25" s="38" t="s">
        <v>50</v>
      </c>
      <c r="C25" s="38">
        <v>13</v>
      </c>
      <c r="D25" s="38" t="s">
        <v>27</v>
      </c>
      <c r="E25" s="38" t="s">
        <v>28</v>
      </c>
      <c r="F25" s="39">
        <v>5.54</v>
      </c>
      <c r="G25" s="39">
        <f t="shared" si="6"/>
        <v>30569.367760000001</v>
      </c>
      <c r="H25" s="46"/>
      <c r="I25" s="37">
        <f>30569367.76/1000</f>
        <v>30569.367760000001</v>
      </c>
      <c r="J25" s="95">
        <f t="shared" si="5"/>
        <v>0</v>
      </c>
      <c r="K25" s="37">
        <f>J25/I25</f>
        <v>0</v>
      </c>
      <c r="L25" s="37">
        <f>30569367.76/1000</f>
        <v>30569.367760000001</v>
      </c>
      <c r="M25" s="37">
        <f>(7512399.88+8086427.29+7028673.7+5511645.92+2430220.97)/1000</f>
        <v>30569.367759999997</v>
      </c>
      <c r="N25" s="67"/>
      <c r="O25" s="37">
        <f>M25</f>
        <v>30569.367759999997</v>
      </c>
      <c r="P25" s="132" t="s">
        <v>124</v>
      </c>
      <c r="Q25" s="31"/>
    </row>
    <row r="26" spans="1:18" s="19" customFormat="1" ht="66" customHeight="1" x14ac:dyDescent="0.2">
      <c r="A26" s="108">
        <v>12</v>
      </c>
      <c r="B26" s="38" t="s">
        <v>49</v>
      </c>
      <c r="C26" s="38">
        <v>14</v>
      </c>
      <c r="D26" s="38" t="s">
        <v>13</v>
      </c>
      <c r="E26" s="38" t="s">
        <v>29</v>
      </c>
      <c r="F26" s="39">
        <v>10</v>
      </c>
      <c r="G26" s="109">
        <f t="shared" si="6"/>
        <v>190331.51504999999</v>
      </c>
      <c r="H26" s="121">
        <v>100000</v>
      </c>
      <c r="I26" s="109">
        <f>190331.51505-100000</f>
        <v>90331.515049999987</v>
      </c>
      <c r="J26" s="129">
        <f t="shared" si="5"/>
        <v>0</v>
      </c>
      <c r="K26" s="43"/>
      <c r="L26" s="112">
        <v>190331.51504999999</v>
      </c>
      <c r="M26" s="112">
        <f>(27498898.59+19107943.24+12854349.52+12374034.35+7886700.79+58063411.15+1271669.45+1296241.02+3409244.17+7437964.26+39131058.51)/1000</f>
        <v>190331.51504999996</v>
      </c>
      <c r="N26" s="112">
        <f>(19107943.24+12374034.35+7886700.79+13675897.07+28411268.79+15976245.29+2567910.47)/1000</f>
        <v>100000</v>
      </c>
      <c r="O26" s="112">
        <f>(27498898.59+12854349.52+3409244.17+7437964.26+39131058.51)/1000</f>
        <v>90331.515050000002</v>
      </c>
      <c r="P26" s="126" t="s">
        <v>115</v>
      </c>
      <c r="Q26" s="31"/>
    </row>
    <row r="27" spans="1:18" s="19" customFormat="1" ht="61.5" customHeight="1" x14ac:dyDescent="0.2">
      <c r="A27" s="108"/>
      <c r="B27" s="38" t="s">
        <v>48</v>
      </c>
      <c r="C27" s="38">
        <v>15</v>
      </c>
      <c r="D27" s="38" t="s">
        <v>30</v>
      </c>
      <c r="E27" s="38" t="s">
        <v>31</v>
      </c>
      <c r="F27" s="39">
        <v>10.5</v>
      </c>
      <c r="G27" s="109"/>
      <c r="H27" s="121"/>
      <c r="I27" s="127"/>
      <c r="J27" s="130">
        <f t="shared" si="5"/>
        <v>0</v>
      </c>
      <c r="K27" s="44"/>
      <c r="L27" s="113"/>
      <c r="M27" s="113"/>
      <c r="N27" s="113"/>
      <c r="O27" s="113"/>
      <c r="P27" s="126"/>
      <c r="Q27" s="80"/>
      <c r="R27" s="33"/>
    </row>
    <row r="28" spans="1:18" s="19" customFormat="1" ht="59.25" customHeight="1" x14ac:dyDescent="0.2">
      <c r="A28" s="38">
        <v>13</v>
      </c>
      <c r="B28" s="38" t="s">
        <v>47</v>
      </c>
      <c r="C28" s="38">
        <v>16</v>
      </c>
      <c r="D28" s="38" t="s">
        <v>15</v>
      </c>
      <c r="E28" s="38" t="s">
        <v>32</v>
      </c>
      <c r="F28" s="39">
        <f>15.87-4.67</f>
        <v>11.2</v>
      </c>
      <c r="G28" s="39">
        <f t="shared" si="6"/>
        <v>127472.06059000001</v>
      </c>
      <c r="H28" s="46">
        <v>48000</v>
      </c>
      <c r="I28" s="37">
        <f>127472060.59/1000-48000</f>
        <v>79472.060590000008</v>
      </c>
      <c r="J28" s="95">
        <f t="shared" si="5"/>
        <v>0</v>
      </c>
      <c r="K28" s="37"/>
      <c r="L28" s="37">
        <v>127472.06059000001</v>
      </c>
      <c r="M28" s="37">
        <f>(12529052.77+6906482.41+12642851.63+7519374.92+17467875.27+3369396.25+17192229.2+38664957.89+11179840.25)/1000</f>
        <v>127472.06059000001</v>
      </c>
      <c r="N28" s="67">
        <f>(20162226.55+17467875.27+3369396.25+7000501.93)/1000</f>
        <v>48000</v>
      </c>
      <c r="O28" s="37">
        <f>(12529052.77+6906482.41+10191727.27+38664957.89+11179840.25)/1000</f>
        <v>79472.060590000008</v>
      </c>
      <c r="P28" s="77" t="s">
        <v>109</v>
      </c>
      <c r="Q28" s="31"/>
    </row>
    <row r="29" spans="1:18" s="19" customFormat="1" ht="79.5" customHeight="1" x14ac:dyDescent="0.2">
      <c r="A29" s="38">
        <v>14</v>
      </c>
      <c r="B29" s="38" t="s">
        <v>46</v>
      </c>
      <c r="C29" s="38">
        <v>17</v>
      </c>
      <c r="D29" s="38" t="s">
        <v>19</v>
      </c>
      <c r="E29" s="38" t="s">
        <v>33</v>
      </c>
      <c r="F29" s="40">
        <f>7.26</f>
        <v>7.26</v>
      </c>
      <c r="G29" s="39">
        <f t="shared" si="6"/>
        <v>72269.722519999996</v>
      </c>
      <c r="H29" s="58">
        <f>68000-35000</f>
        <v>33000</v>
      </c>
      <c r="I29" s="37">
        <f>72269.72252-33000</f>
        <v>39269.722519999996</v>
      </c>
      <c r="J29" s="95">
        <f t="shared" si="5"/>
        <v>0</v>
      </c>
      <c r="K29" s="37"/>
      <c r="L29" s="37">
        <v>72269.722519999996</v>
      </c>
      <c r="M29" s="102">
        <f>(7485317.47+3241810.73+1205594.11+8152061.86+8553640.03+24478640.47+19152657.85)/1000</f>
        <v>72269.722519999996</v>
      </c>
      <c r="N29" s="67">
        <f>(7485317.47+3241810.73+1205594.11+8152061.86+8204369.59+242451.26+106819.18+4361575.8)/1000</f>
        <v>33000</v>
      </c>
      <c r="O29" s="37">
        <f>(20117064.67+19152657.85)/1000</f>
        <v>39269.722520000003</v>
      </c>
      <c r="P29" s="77" t="s">
        <v>116</v>
      </c>
      <c r="Q29" s="31"/>
    </row>
    <row r="30" spans="1:18" s="15" customFormat="1" ht="78.75" customHeight="1" x14ac:dyDescent="0.2">
      <c r="A30" s="63">
        <v>15</v>
      </c>
      <c r="B30" s="63" t="s">
        <v>67</v>
      </c>
      <c r="C30" s="63">
        <v>18</v>
      </c>
      <c r="D30" s="63" t="s">
        <v>61</v>
      </c>
      <c r="E30" s="63" t="s">
        <v>62</v>
      </c>
      <c r="F30" s="64">
        <v>10</v>
      </c>
      <c r="G30" s="39">
        <f t="shared" ref="G30" si="9">SUM(H30:I30)</f>
        <v>86340.763560000007</v>
      </c>
      <c r="H30" s="65"/>
      <c r="I30" s="41">
        <v>86340.763560000007</v>
      </c>
      <c r="J30" s="97">
        <v>73563.706439999994</v>
      </c>
      <c r="K30" s="49">
        <v>0.46004784256500142</v>
      </c>
      <c r="L30" s="41">
        <v>86340.763560000007</v>
      </c>
      <c r="M30" s="41">
        <f>(6007615.01+16992320.34+29908005.47+17455926.76+9629550.14+6347345.84)/1000</f>
        <v>86340.763560000007</v>
      </c>
      <c r="N30" s="41"/>
      <c r="O30" s="41">
        <f>(6007615.01+16992320.34+29908005.47+17455926.76+9629550.14+6347345.84)/1000</f>
        <v>86340.763560000007</v>
      </c>
      <c r="P30" s="132" t="s">
        <v>117</v>
      </c>
      <c r="Q30" s="25"/>
    </row>
    <row r="31" spans="1:18" s="19" customFormat="1" ht="61.5" customHeight="1" x14ac:dyDescent="0.2">
      <c r="A31" s="38">
        <v>16</v>
      </c>
      <c r="B31" s="38" t="s">
        <v>45</v>
      </c>
      <c r="C31" s="38">
        <v>19</v>
      </c>
      <c r="D31" s="38" t="s">
        <v>42</v>
      </c>
      <c r="E31" s="38" t="s">
        <v>43</v>
      </c>
      <c r="F31" s="39">
        <v>4.16</v>
      </c>
      <c r="G31" s="39">
        <f>SUM(H31:I31)</f>
        <v>92778.390079999997</v>
      </c>
      <c r="H31" s="46"/>
      <c r="I31" s="41">
        <f>L31</f>
        <v>92778.390079999997</v>
      </c>
      <c r="J31" s="97">
        <f t="shared" si="5"/>
        <v>0</v>
      </c>
      <c r="K31" s="41"/>
      <c r="L31" s="41">
        <v>92778.390079999997</v>
      </c>
      <c r="M31" s="41">
        <f>(49032966.49+38710214.45+5035209.14)/1000</f>
        <v>92778.390079999997</v>
      </c>
      <c r="N31" s="41"/>
      <c r="O31" s="41">
        <f>(49032966.49+38710214.45+5035209.14)/1000</f>
        <v>92778.390079999997</v>
      </c>
      <c r="P31" s="132" t="s">
        <v>118</v>
      </c>
      <c r="Q31" s="80"/>
    </row>
    <row r="32" spans="1:18" s="19" customFormat="1" ht="56.25" customHeight="1" x14ac:dyDescent="0.2">
      <c r="A32" s="54">
        <v>18</v>
      </c>
      <c r="B32" s="54" t="s">
        <v>44</v>
      </c>
      <c r="C32" s="54">
        <v>20</v>
      </c>
      <c r="D32" s="54" t="s">
        <v>13</v>
      </c>
      <c r="E32" s="54" t="s">
        <v>39</v>
      </c>
      <c r="F32" s="39">
        <f>4.868-0</f>
        <v>4.8680000000000003</v>
      </c>
      <c r="G32" s="39">
        <f>SUM(H32:I32)</f>
        <v>163618.57578000001</v>
      </c>
      <c r="H32" s="46"/>
      <c r="I32" s="41">
        <f>163618575.78/1000</f>
        <v>163618.57578000001</v>
      </c>
      <c r="J32" s="97">
        <f>G32-L32</f>
        <v>0</v>
      </c>
      <c r="K32" s="55"/>
      <c r="L32" s="41">
        <f>163618575.78/1000</f>
        <v>163618.57578000001</v>
      </c>
      <c r="M32" s="41">
        <f>(42303913.56+46390286.16+56711468.23+8063787.17+4496094.78+5653025.88)/1000</f>
        <v>163618.57577999998</v>
      </c>
      <c r="N32" s="41"/>
      <c r="O32" s="41">
        <f>(42303913.56+46390286.16+56711468.23+8063787.17+4496094.78+5653025.88)/1000</f>
        <v>163618.57577999998</v>
      </c>
      <c r="P32" s="132" t="s">
        <v>119</v>
      </c>
      <c r="Q32" s="31"/>
    </row>
    <row r="33" spans="1:24" s="15" customFormat="1" ht="61.5" customHeight="1" x14ac:dyDescent="0.2">
      <c r="A33" s="50">
        <v>19</v>
      </c>
      <c r="B33" s="50" t="s">
        <v>72</v>
      </c>
      <c r="C33" s="50">
        <v>21</v>
      </c>
      <c r="D33" s="50" t="s">
        <v>65</v>
      </c>
      <c r="E33" s="50" t="s">
        <v>86</v>
      </c>
      <c r="F33" s="51">
        <v>26</v>
      </c>
      <c r="G33" s="39">
        <f t="shared" si="6"/>
        <v>262915.08208000002</v>
      </c>
      <c r="H33" s="56">
        <f>180000+35000</f>
        <v>215000</v>
      </c>
      <c r="I33" s="41">
        <v>47915.08208</v>
      </c>
      <c r="J33" s="97">
        <f>G33-L33</f>
        <v>0</v>
      </c>
      <c r="K33" s="49">
        <f>J33/I33</f>
        <v>0</v>
      </c>
      <c r="L33" s="41">
        <f>262915082.08/1000</f>
        <v>262915.08208000002</v>
      </c>
      <c r="M33" s="41">
        <f>(22420595.96+9283986.67+44736927.41+63782395.24+49326114.65+70186907.48+3178154.67)/1000</f>
        <v>262915.08208000002</v>
      </c>
      <c r="N33" s="41">
        <f>(8950975.04+13469620.92+9283986.67+63782395.24+26184905.38+23141209.27+70186907.48)/1000</f>
        <v>215000</v>
      </c>
      <c r="O33" s="41">
        <f>(7292066.76+37444860.65+3178154.67)/1000</f>
        <v>47915.08208</v>
      </c>
      <c r="P33" s="132" t="s">
        <v>112</v>
      </c>
      <c r="Q33" s="103"/>
    </row>
    <row r="34" spans="1:24" s="15" customFormat="1" ht="74.25" customHeight="1" x14ac:dyDescent="0.2">
      <c r="A34" s="83">
        <v>20</v>
      </c>
      <c r="B34" s="83" t="s">
        <v>66</v>
      </c>
      <c r="C34" s="83">
        <v>22</v>
      </c>
      <c r="D34" s="83" t="s">
        <v>37</v>
      </c>
      <c r="E34" s="83" t="s">
        <v>38</v>
      </c>
      <c r="F34" s="39">
        <v>16.5</v>
      </c>
      <c r="G34" s="39">
        <f>SUM(H34:I34)</f>
        <v>461104.43768999999</v>
      </c>
      <c r="H34" s="39">
        <v>63000</v>
      </c>
      <c r="I34" s="41">
        <f>L34-63000</f>
        <v>398104.43768999999</v>
      </c>
      <c r="J34" s="97">
        <f>G34-L34</f>
        <v>0</v>
      </c>
      <c r="K34" s="49">
        <f>J34/I34</f>
        <v>0</v>
      </c>
      <c r="L34" s="41">
        <f>M34</f>
        <v>461104.43768999999</v>
      </c>
      <c r="M34" s="41">
        <f>N34+O34</f>
        <v>461104.43768999999</v>
      </c>
      <c r="N34" s="41">
        <v>63000</v>
      </c>
      <c r="O34" s="41">
        <f>(161171838.98+93121152.1+12088604.76+3539466.62+5395728.73+122787646.5)/1000</f>
        <v>398104.43768999999</v>
      </c>
      <c r="P34" s="132" t="s">
        <v>120</v>
      </c>
      <c r="Q34" s="25"/>
    </row>
    <row r="35" spans="1:24" s="92" customFormat="1" ht="48.75" customHeight="1" x14ac:dyDescent="0.2">
      <c r="A35" s="9"/>
      <c r="B35" s="9" t="s">
        <v>105</v>
      </c>
      <c r="C35" s="9"/>
      <c r="D35" s="9" t="str">
        <f t="shared" ref="D35:F35" si="10">D36</f>
        <v>66+000</v>
      </c>
      <c r="E35" s="9" t="str">
        <f t="shared" si="10"/>
        <v>67+000</v>
      </c>
      <c r="F35" s="93">
        <f t="shared" si="10"/>
        <v>1</v>
      </c>
      <c r="G35" s="93">
        <f t="shared" ref="G35:N35" si="11">G36+G37+G38</f>
        <v>40762.281060000001</v>
      </c>
      <c r="H35" s="93">
        <f t="shared" si="11"/>
        <v>0</v>
      </c>
      <c r="I35" s="93">
        <f t="shared" si="11"/>
        <v>40762.281060000001</v>
      </c>
      <c r="J35" s="93">
        <f t="shared" si="11"/>
        <v>0</v>
      </c>
      <c r="K35" s="93">
        <f t="shared" si="11"/>
        <v>0</v>
      </c>
      <c r="L35" s="93">
        <f t="shared" si="11"/>
        <v>40762.281060000001</v>
      </c>
      <c r="M35" s="93">
        <f t="shared" si="11"/>
        <v>40762.281060000001</v>
      </c>
      <c r="N35" s="93">
        <f t="shared" si="11"/>
        <v>0</v>
      </c>
      <c r="O35" s="93">
        <f>O36+O37+O38</f>
        <v>40762.281060000001</v>
      </c>
      <c r="P35" s="91"/>
      <c r="Q35" s="85"/>
    </row>
    <row r="36" spans="1:24" s="19" customFormat="1" ht="78" customHeight="1" x14ac:dyDescent="0.2">
      <c r="A36" s="108">
        <v>17</v>
      </c>
      <c r="B36" s="83" t="s">
        <v>77</v>
      </c>
      <c r="C36" s="108">
        <v>23</v>
      </c>
      <c r="D36" s="108" t="s">
        <v>59</v>
      </c>
      <c r="E36" s="108" t="s">
        <v>60</v>
      </c>
      <c r="F36" s="109">
        <v>1</v>
      </c>
      <c r="G36" s="39">
        <f>SUM(H36:I36)</f>
        <v>39986.862780000003</v>
      </c>
      <c r="H36" s="46"/>
      <c r="I36" s="41">
        <f>39986862.78/1000</f>
        <v>39986.862780000003</v>
      </c>
      <c r="J36" s="41">
        <f t="shared" ref="J36:J38" si="12">G36-L36</f>
        <v>0</v>
      </c>
      <c r="K36" s="41"/>
      <c r="L36" s="41">
        <v>39986.862780000003</v>
      </c>
      <c r="M36" s="41">
        <f>(27223002.01+3813691.02+8950169.75)/1000</f>
        <v>39986.862780000003</v>
      </c>
      <c r="N36" s="41"/>
      <c r="O36" s="41">
        <f>(27223002.01+3813691.02+8950169.75)/1000</f>
        <v>39986.862780000003</v>
      </c>
      <c r="P36" s="83" t="s">
        <v>108</v>
      </c>
      <c r="Q36" s="31"/>
    </row>
    <row r="37" spans="1:24" s="19" customFormat="1" ht="32.25" customHeight="1" x14ac:dyDescent="0.2">
      <c r="A37" s="108"/>
      <c r="B37" s="83" t="s">
        <v>87</v>
      </c>
      <c r="C37" s="108"/>
      <c r="D37" s="108"/>
      <c r="E37" s="108"/>
      <c r="F37" s="109"/>
      <c r="G37" s="39">
        <f t="shared" ref="G37:G38" si="13">SUM(H37:I37)</f>
        <v>700</v>
      </c>
      <c r="H37" s="46"/>
      <c r="I37" s="41">
        <f>700000/1000</f>
        <v>700</v>
      </c>
      <c r="J37" s="41">
        <f t="shared" si="12"/>
        <v>0</v>
      </c>
      <c r="K37" s="41"/>
      <c r="L37" s="41">
        <f>I37</f>
        <v>700</v>
      </c>
      <c r="M37" s="41">
        <f>(476559.05+66761.52+156679.43)/1000</f>
        <v>700</v>
      </c>
      <c r="N37" s="41"/>
      <c r="O37" s="41">
        <f>(476559.05+66761.52+156679.43)/1000</f>
        <v>700</v>
      </c>
      <c r="P37" s="83" t="s">
        <v>99</v>
      </c>
      <c r="Q37" s="31"/>
    </row>
    <row r="38" spans="1:24" s="19" customFormat="1" ht="31.5" customHeight="1" x14ac:dyDescent="0.2">
      <c r="A38" s="108"/>
      <c r="B38" s="83" t="s">
        <v>97</v>
      </c>
      <c r="C38" s="108"/>
      <c r="D38" s="108"/>
      <c r="E38" s="108"/>
      <c r="F38" s="109"/>
      <c r="G38" s="39">
        <f t="shared" si="13"/>
        <v>75.418279999999996</v>
      </c>
      <c r="H38" s="46"/>
      <c r="I38" s="39">
        <f>75418.28/1000</f>
        <v>75.418279999999996</v>
      </c>
      <c r="J38" s="41">
        <f t="shared" si="12"/>
        <v>0</v>
      </c>
      <c r="K38" s="41"/>
      <c r="L38" s="39">
        <f>75418.28/1000</f>
        <v>75.418279999999996</v>
      </c>
      <c r="M38" s="41">
        <f>75418.28/1000</f>
        <v>75.418279999999996</v>
      </c>
      <c r="N38" s="41"/>
      <c r="O38" s="41">
        <f>M38</f>
        <v>75.418279999999996</v>
      </c>
      <c r="P38" s="83" t="s">
        <v>98</v>
      </c>
      <c r="Q38" s="31"/>
    </row>
    <row r="39" spans="1:24" s="7" customFormat="1" ht="46.5" customHeight="1" thickBot="1" x14ac:dyDescent="0.25">
      <c r="A39" s="86"/>
      <c r="B39" s="87" t="s">
        <v>88</v>
      </c>
      <c r="C39" s="87"/>
      <c r="D39" s="88"/>
      <c r="E39" s="89"/>
      <c r="F39" s="90">
        <f t="shared" ref="F39:M39" si="14">SUM(F40:F41)</f>
        <v>0</v>
      </c>
      <c r="G39" s="90">
        <f t="shared" si="14"/>
        <v>96066.190439999991</v>
      </c>
      <c r="H39" s="90">
        <f t="shared" si="14"/>
        <v>0</v>
      </c>
      <c r="I39" s="90">
        <f t="shared" si="14"/>
        <v>96066.190439999991</v>
      </c>
      <c r="J39" s="90">
        <f t="shared" si="14"/>
        <v>0</v>
      </c>
      <c r="K39" s="90">
        <f t="shared" si="14"/>
        <v>0</v>
      </c>
      <c r="L39" s="90">
        <f t="shared" si="14"/>
        <v>0</v>
      </c>
      <c r="M39" s="90">
        <f t="shared" si="14"/>
        <v>0</v>
      </c>
      <c r="N39" s="90"/>
      <c r="O39" s="90">
        <f>SUM(O40:O41)</f>
        <v>0</v>
      </c>
      <c r="P39" s="90"/>
      <c r="Q39" s="24"/>
      <c r="X39" s="7" t="s">
        <v>9</v>
      </c>
    </row>
    <row r="40" spans="1:24" ht="38.25" x14ac:dyDescent="0.2">
      <c r="A40" s="16">
        <v>1</v>
      </c>
      <c r="B40" s="16" t="s">
        <v>58</v>
      </c>
      <c r="C40" s="16">
        <v>25</v>
      </c>
      <c r="D40" s="16" t="s">
        <v>35</v>
      </c>
      <c r="E40" s="16" t="s">
        <v>36</v>
      </c>
      <c r="F40" s="18"/>
      <c r="G40" s="29">
        <f>SUM(H40:I40)</f>
        <v>39767.126969999998</v>
      </c>
      <c r="H40" s="18"/>
      <c r="I40" s="17">
        <f>39767126.97/1000</f>
        <v>39767.126969999998</v>
      </c>
      <c r="J40" s="17"/>
      <c r="K40" s="17"/>
      <c r="L40" s="17"/>
      <c r="M40" s="17"/>
      <c r="N40" s="17"/>
      <c r="O40" s="17"/>
      <c r="P40" s="16" t="s">
        <v>96</v>
      </c>
      <c r="Q40" s="10"/>
    </row>
    <row r="41" spans="1:24" ht="21" customHeight="1" x14ac:dyDescent="0.2">
      <c r="A41" s="16"/>
      <c r="B41" s="16" t="s">
        <v>100</v>
      </c>
      <c r="C41" s="16"/>
      <c r="D41" s="16"/>
      <c r="E41" s="16"/>
      <c r="F41" s="18"/>
      <c r="G41" s="29">
        <f>SUM(H41:I41)</f>
        <v>56299.063469999994</v>
      </c>
      <c r="H41" s="18"/>
      <c r="I41" s="42">
        <f>(54620363.47/1000)+1678.7</f>
        <v>56299.063469999994</v>
      </c>
      <c r="J41" s="42"/>
      <c r="K41" s="42"/>
      <c r="L41" s="42"/>
      <c r="M41" s="42"/>
      <c r="N41" s="42"/>
      <c r="O41" s="42"/>
      <c r="P41" s="16" t="s">
        <v>101</v>
      </c>
      <c r="Q41" s="10"/>
    </row>
    <row r="42" spans="1:24" x14ac:dyDescent="0.2"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24" x14ac:dyDescent="0.2">
      <c r="D43" s="10"/>
      <c r="E43" s="10"/>
      <c r="F43" s="10"/>
      <c r="G43" s="66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24" x14ac:dyDescent="0.2"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24" x14ac:dyDescent="0.2"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24" x14ac:dyDescent="0.2"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24" x14ac:dyDescent="0.2"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24" x14ac:dyDescent="0.2"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4:17" x14ac:dyDescent="0.2"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4:17" x14ac:dyDescent="0.2"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4:17" x14ac:dyDescent="0.2"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4:17" x14ac:dyDescent="0.2"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4:17" x14ac:dyDescent="0.2"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4:17" x14ac:dyDescent="0.2"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4:17" x14ac:dyDescent="0.2"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4:17" x14ac:dyDescent="0.2"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4:17" x14ac:dyDescent="0.2"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</sheetData>
  <mergeCells count="49">
    <mergeCell ref="P21:P22"/>
    <mergeCell ref="P26:P27"/>
    <mergeCell ref="E6:E7"/>
    <mergeCell ref="A21:A22"/>
    <mergeCell ref="I21:I22"/>
    <mergeCell ref="P5:P7"/>
    <mergeCell ref="C5:C7"/>
    <mergeCell ref="M5:M7"/>
    <mergeCell ref="J21:J22"/>
    <mergeCell ref="H26:H27"/>
    <mergeCell ref="G26:G27"/>
    <mergeCell ref="J26:J27"/>
    <mergeCell ref="L26:L27"/>
    <mergeCell ref="M26:M27"/>
    <mergeCell ref="O26:O27"/>
    <mergeCell ref="I26:I27"/>
    <mergeCell ref="A1:P2"/>
    <mergeCell ref="L5:L7"/>
    <mergeCell ref="F6:F7"/>
    <mergeCell ref="A19:A20"/>
    <mergeCell ref="C11:C12"/>
    <mergeCell ref="D11:D12"/>
    <mergeCell ref="E11:E12"/>
    <mergeCell ref="F11:F12"/>
    <mergeCell ref="A13:A14"/>
    <mergeCell ref="C13:C14"/>
    <mergeCell ref="D13:D14"/>
    <mergeCell ref="E13:E14"/>
    <mergeCell ref="F13:F14"/>
    <mergeCell ref="P19:P20"/>
    <mergeCell ref="N5:O5"/>
    <mergeCell ref="A5:A7"/>
    <mergeCell ref="A11:A12"/>
    <mergeCell ref="A26:A27"/>
    <mergeCell ref="N26:N27"/>
    <mergeCell ref="L21:L22"/>
    <mergeCell ref="J5:K5"/>
    <mergeCell ref="B5:B7"/>
    <mergeCell ref="G5:G7"/>
    <mergeCell ref="D6:D7"/>
    <mergeCell ref="H5:I5"/>
    <mergeCell ref="G21:G22"/>
    <mergeCell ref="H21:H22"/>
    <mergeCell ref="D5:E5"/>
    <mergeCell ref="A36:A38"/>
    <mergeCell ref="C36:C38"/>
    <mergeCell ref="D36:D38"/>
    <mergeCell ref="E36:E38"/>
    <mergeCell ref="F36:F38"/>
  </mergeCells>
  <pageMargins left="0" right="0" top="0.19685039370078741" bottom="0.19685039370078741" header="0" footer="0"/>
  <pageSetup paperSize="9" scale="27" fitToHeight="4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БКАД</vt:lpstr>
      <vt:lpstr>БКАД!Заголовки_для_печати</vt:lpstr>
      <vt:lpstr>БКАД!Область_печати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Слепцова</dc:creator>
  <cp:lastModifiedBy>Александра Николашкина</cp:lastModifiedBy>
  <cp:lastPrinted>2021-11-23T00:43:34Z</cp:lastPrinted>
  <dcterms:created xsi:type="dcterms:W3CDTF">2019-02-26T03:24:35Z</dcterms:created>
  <dcterms:modified xsi:type="dcterms:W3CDTF">2022-02-02T10:02:48Z</dcterms:modified>
</cp:coreProperties>
</file>